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asunie.sharepoint.com/sites/20190844/RNB en Piek/"/>
    </mc:Choice>
  </mc:AlternateContent>
  <xr:revisionPtr revIDLastSave="0" documentId="8_{A954B1C8-7703-4FAD-9F7E-7FEB11CC60FB}" xr6:coauthVersionLast="47" xr6:coauthVersionMax="47" xr10:uidLastSave="{00000000-0000-0000-0000-000000000000}"/>
  <bookViews>
    <workbookView xWindow="25095" yWindow="0" windowWidth="25110" windowHeight="21600" tabRatio="688" xr2:uid="{86D24B49-A982-49E8-8FAC-43672A27AA5D}"/>
  </bookViews>
  <sheets>
    <sheet name="Quick calculator Telemetry" sheetId="3" r:id="rId1"/>
    <sheet name="Quick calculator Profile" sheetId="6" r:id="rId2"/>
    <sheet name="Telemetry end users" sheetId="2" r:id="rId3"/>
    <sheet name="Profile end users" sheetId="1" r:id="rId4"/>
    <sheet name="Tariffs" sheetId="5" r:id="rId5"/>
    <sheet name="Factors and fractions" sheetId="4" r:id="rId6"/>
  </sheets>
  <calcPr calcId="191028" concurrentManualCount="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3" l="1"/>
  <c r="E202" i="2"/>
  <c r="B131" i="2"/>
  <c r="E139" i="1"/>
  <c r="D139" i="1"/>
  <c r="C139" i="1"/>
  <c r="B139" i="1"/>
  <c r="F139" i="1" s="1"/>
  <c r="B158" i="1" s="1"/>
  <c r="J8" i="3"/>
  <c r="B138" i="1"/>
  <c r="B140" i="1"/>
  <c r="B141" i="1"/>
  <c r="B142" i="1"/>
  <c r="B143" i="1"/>
  <c r="B144" i="1"/>
  <c r="B145" i="1"/>
  <c r="B146" i="1"/>
  <c r="B147" i="1"/>
  <c r="B137" i="1"/>
  <c r="B148" i="1" l="1"/>
  <c r="B160" i="2"/>
  <c r="L11" i="3" l="1"/>
  <c r="L9" i="3"/>
  <c r="L8" i="3"/>
  <c r="C140" i="1" l="1"/>
  <c r="D140" i="1"/>
  <c r="E140" i="1"/>
  <c r="C142" i="1"/>
  <c r="D142" i="1"/>
  <c r="E142" i="1"/>
  <c r="C143" i="1"/>
  <c r="D143" i="1"/>
  <c r="E143" i="1"/>
  <c r="C144" i="1"/>
  <c r="D144" i="1"/>
  <c r="E144" i="1"/>
  <c r="C145" i="1"/>
  <c r="D145" i="1"/>
  <c r="E145" i="1"/>
  <c r="C146" i="1"/>
  <c r="D146" i="1"/>
  <c r="E146" i="1"/>
  <c r="C147" i="1"/>
  <c r="D147" i="1"/>
  <c r="E147" i="1"/>
  <c r="C148" i="1"/>
  <c r="D148" i="1"/>
  <c r="E148" i="1"/>
  <c r="C138" i="1"/>
  <c r="D138" i="1"/>
  <c r="E138" i="1"/>
  <c r="E137" i="1"/>
  <c r="D137" i="1"/>
  <c r="C137" i="1"/>
  <c r="F147" i="1" l="1"/>
  <c r="F148" i="1"/>
  <c r="F146" i="1"/>
  <c r="F145" i="1"/>
  <c r="F144" i="1"/>
  <c r="F138" i="1"/>
  <c r="F143" i="1"/>
  <c r="F142" i="1"/>
  <c r="C141" i="1"/>
  <c r="E141" i="1"/>
  <c r="D141" i="1"/>
  <c r="F140" i="1"/>
  <c r="F141" i="1" l="1"/>
  <c r="F66" i="1"/>
  <c r="F61" i="1"/>
  <c r="B80" i="1" s="1"/>
  <c r="C9" i="3" l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D9" i="3" l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7" i="3" l="1"/>
  <c r="C7" i="3"/>
  <c r="F9" i="3" l="1"/>
  <c r="F10" i="3"/>
  <c r="F11" i="3"/>
  <c r="F8" i="3"/>
  <c r="E174" i="1" l="1"/>
  <c r="E175" i="1"/>
  <c r="E176" i="1"/>
  <c r="E177" i="1"/>
  <c r="E178" i="1"/>
  <c r="E179" i="1"/>
  <c r="E180" i="1"/>
  <c r="E181" i="1"/>
  <c r="E182" i="1"/>
  <c r="E183" i="1"/>
  <c r="E184" i="1"/>
  <c r="E185" i="1"/>
  <c r="B175" i="1"/>
  <c r="C175" i="1"/>
  <c r="D175" i="1"/>
  <c r="B176" i="1"/>
  <c r="C176" i="1"/>
  <c r="D176" i="1"/>
  <c r="B177" i="1"/>
  <c r="C177" i="1"/>
  <c r="D177" i="1"/>
  <c r="B178" i="1"/>
  <c r="C178" i="1"/>
  <c r="D178" i="1"/>
  <c r="B179" i="1"/>
  <c r="C179" i="1"/>
  <c r="D179" i="1"/>
  <c r="B180" i="1"/>
  <c r="C180" i="1"/>
  <c r="D180" i="1"/>
  <c r="B181" i="1"/>
  <c r="C181" i="1"/>
  <c r="D181" i="1"/>
  <c r="B182" i="1"/>
  <c r="C182" i="1"/>
  <c r="D182" i="1"/>
  <c r="B183" i="1"/>
  <c r="C183" i="1"/>
  <c r="D183" i="1"/>
  <c r="B184" i="1"/>
  <c r="C184" i="1"/>
  <c r="D184" i="1"/>
  <c r="B185" i="1"/>
  <c r="C185" i="1"/>
  <c r="D185" i="1"/>
  <c r="C174" i="1"/>
  <c r="D174" i="1"/>
  <c r="B174" i="1"/>
  <c r="J11" i="3"/>
  <c r="E11" i="3" s="1"/>
  <c r="J10" i="3"/>
  <c r="E10" i="3" s="1"/>
  <c r="J9" i="3"/>
  <c r="E9" i="3" s="1"/>
  <c r="E8" i="3"/>
  <c r="D93" i="2" l="1"/>
  <c r="D97" i="1"/>
  <c r="B161" i="1" l="1"/>
  <c r="B157" i="1"/>
  <c r="B163" i="1"/>
  <c r="B164" i="1"/>
  <c r="B167" i="1"/>
  <c r="B162" i="1"/>
  <c r="B159" i="1"/>
  <c r="B165" i="1"/>
  <c r="B166" i="1"/>
  <c r="B160" i="1"/>
  <c r="B136" i="2"/>
  <c r="B132" i="2"/>
  <c r="B133" i="2"/>
  <c r="B138" i="2"/>
  <c r="B130" i="2"/>
  <c r="B135" i="2"/>
  <c r="B129" i="2"/>
  <c r="B139" i="2"/>
  <c r="B134" i="2"/>
  <c r="B137" i="2"/>
  <c r="B140" i="2"/>
  <c r="B43" i="2"/>
  <c r="E194" i="1" l="1"/>
  <c r="E195" i="1"/>
  <c r="E196" i="1"/>
  <c r="E197" i="1"/>
  <c r="E198" i="1"/>
  <c r="E199" i="1"/>
  <c r="E200" i="1"/>
  <c r="E201" i="1"/>
  <c r="E202" i="1"/>
  <c r="E203" i="1"/>
  <c r="E204" i="1"/>
  <c r="E193" i="1"/>
  <c r="B208" i="1" l="1"/>
  <c r="B178" i="2"/>
  <c r="B72" i="2" l="1"/>
  <c r="B76" i="1"/>
  <c r="B143" i="2" l="1"/>
  <c r="B90" i="2" l="1"/>
  <c r="B196" i="2" l="1"/>
  <c r="B177" i="2"/>
  <c r="B126" i="2"/>
  <c r="B109" i="2"/>
  <c r="B71" i="2"/>
  <c r="B53" i="2"/>
  <c r="B36" i="2"/>
  <c r="B19" i="2"/>
  <c r="B13" i="2"/>
  <c r="B94" i="1"/>
  <c r="B75" i="1"/>
  <c r="B56" i="1"/>
  <c r="B35" i="1"/>
  <c r="B29" i="1"/>
  <c r="B12" i="1"/>
  <c r="B226" i="1"/>
  <c r="B207" i="1"/>
  <c r="B188" i="1"/>
  <c r="B170" i="1"/>
  <c r="B152" i="1"/>
  <c r="B132" i="1"/>
  <c r="B114" i="1"/>
  <c r="F57" i="2" l="1"/>
  <c r="B166" i="2"/>
  <c r="C193" i="1"/>
  <c r="B193" i="1"/>
  <c r="C76" i="2" l="1"/>
  <c r="B173" i="2"/>
  <c r="B169" i="2"/>
  <c r="B165" i="2"/>
  <c r="B172" i="2"/>
  <c r="B168" i="2"/>
  <c r="B164" i="2"/>
  <c r="B163" i="2"/>
  <c r="B171" i="2"/>
  <c r="B167" i="2"/>
  <c r="B174" i="2"/>
  <c r="B170" i="2"/>
  <c r="B194" i="1" l="1"/>
  <c r="C194" i="1"/>
  <c r="D194" i="1"/>
  <c r="B195" i="1"/>
  <c r="C195" i="1"/>
  <c r="D195" i="1"/>
  <c r="B196" i="1"/>
  <c r="C196" i="1"/>
  <c r="D196" i="1"/>
  <c r="B197" i="1"/>
  <c r="C197" i="1"/>
  <c r="D197" i="1"/>
  <c r="B198" i="1"/>
  <c r="C198" i="1"/>
  <c r="D198" i="1"/>
  <c r="B199" i="1"/>
  <c r="C199" i="1"/>
  <c r="D199" i="1"/>
  <c r="B200" i="1"/>
  <c r="C200" i="1"/>
  <c r="D200" i="1"/>
  <c r="B201" i="1"/>
  <c r="C201" i="1"/>
  <c r="D201" i="1"/>
  <c r="B202" i="1"/>
  <c r="C202" i="1"/>
  <c r="D202" i="1"/>
  <c r="B203" i="1"/>
  <c r="C203" i="1"/>
  <c r="D203" i="1"/>
  <c r="B204" i="1"/>
  <c r="C204" i="1"/>
  <c r="D204" i="1"/>
  <c r="D193" i="1"/>
  <c r="F193" i="1" s="1"/>
  <c r="F137" i="1" l="1"/>
  <c r="B156" i="1" s="1"/>
  <c r="F202" i="1"/>
  <c r="F198" i="1"/>
  <c r="F194" i="1"/>
  <c r="F195" i="1"/>
  <c r="F201" i="1"/>
  <c r="F203" i="1"/>
  <c r="F199" i="1"/>
  <c r="F197" i="1"/>
  <c r="F204" i="1"/>
  <c r="F200" i="1"/>
  <c r="F196" i="1"/>
  <c r="G193" i="1" l="1"/>
  <c r="G194" i="1"/>
  <c r="G196" i="1"/>
  <c r="G202" i="1"/>
  <c r="G197" i="1"/>
  <c r="G201" i="1"/>
  <c r="G198" i="1"/>
  <c r="G195" i="1"/>
  <c r="G199" i="1"/>
  <c r="G200" i="1"/>
  <c r="G203" i="1"/>
  <c r="G204" i="1"/>
  <c r="F62" i="1" l="1"/>
  <c r="F63" i="1"/>
  <c r="F64" i="1"/>
  <c r="F65" i="1"/>
  <c r="F67" i="1"/>
  <c r="F68" i="1"/>
  <c r="F69" i="1"/>
  <c r="F70" i="1"/>
  <c r="F71" i="1"/>
  <c r="F72" i="1"/>
  <c r="B89" i="1" l="1"/>
  <c r="C89" i="1"/>
  <c r="D89" i="1"/>
  <c r="B85" i="1"/>
  <c r="C85" i="1"/>
  <c r="D85" i="1"/>
  <c r="B81" i="1"/>
  <c r="C81" i="1"/>
  <c r="D81" i="1"/>
  <c r="C80" i="1"/>
  <c r="D80" i="1"/>
  <c r="B88" i="1"/>
  <c r="C88" i="1"/>
  <c r="D88" i="1"/>
  <c r="B84" i="1"/>
  <c r="C84" i="1"/>
  <c r="D84" i="1"/>
  <c r="B91" i="1"/>
  <c r="C91" i="1"/>
  <c r="D91" i="1"/>
  <c r="B87" i="1"/>
  <c r="C87" i="1"/>
  <c r="D87" i="1"/>
  <c r="B83" i="1"/>
  <c r="C83" i="1"/>
  <c r="D83" i="1"/>
  <c r="B90" i="1"/>
  <c r="C90" i="1"/>
  <c r="D90" i="1"/>
  <c r="B86" i="1"/>
  <c r="C86" i="1"/>
  <c r="D86" i="1"/>
  <c r="B82" i="1"/>
  <c r="C82" i="1"/>
  <c r="D82" i="1"/>
  <c r="E88" i="1" l="1"/>
  <c r="E83" i="1"/>
  <c r="E84" i="1"/>
  <c r="E90" i="1"/>
  <c r="E80" i="1"/>
  <c r="E86" i="1"/>
  <c r="E87" i="1"/>
  <c r="E91" i="1"/>
  <c r="E89" i="1"/>
  <c r="E82" i="1"/>
  <c r="E85" i="1"/>
  <c r="E81" i="1"/>
  <c r="B41" i="1" l="1"/>
  <c r="B40" i="2" l="1"/>
  <c r="B58" i="2" s="1"/>
  <c r="B41" i="2"/>
  <c r="B59" i="2" s="1"/>
  <c r="B42" i="2"/>
  <c r="B60" i="2" s="1"/>
  <c r="B61" i="2"/>
  <c r="B44" i="2"/>
  <c r="B62" i="2" s="1"/>
  <c r="B45" i="2"/>
  <c r="B63" i="2" s="1"/>
  <c r="B46" i="2"/>
  <c r="B64" i="2" s="1"/>
  <c r="B47" i="2"/>
  <c r="B65" i="2" s="1"/>
  <c r="B48" i="2"/>
  <c r="B66" i="2" s="1"/>
  <c r="B49" i="2"/>
  <c r="B67" i="2" s="1"/>
  <c r="B50" i="2"/>
  <c r="B68" i="2" s="1"/>
  <c r="B39" i="2"/>
  <c r="B57" i="2" s="1"/>
  <c r="C42" i="1" l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D41" i="1"/>
  <c r="C41" i="1"/>
  <c r="B42" i="1"/>
  <c r="B43" i="1"/>
  <c r="B44" i="1"/>
  <c r="B45" i="1"/>
  <c r="B46" i="1"/>
  <c r="B47" i="1"/>
  <c r="B48" i="1"/>
  <c r="B49" i="1"/>
  <c r="B50" i="1"/>
  <c r="B51" i="1"/>
  <c r="B52" i="1"/>
  <c r="E45" i="1" l="1"/>
  <c r="B65" i="1" s="1"/>
  <c r="G84" i="1" s="1"/>
  <c r="E41" i="1"/>
  <c r="B61" i="1" s="1"/>
  <c r="F58" i="2"/>
  <c r="F59" i="2"/>
  <c r="F60" i="2"/>
  <c r="F61" i="2"/>
  <c r="F62" i="2"/>
  <c r="F63" i="2"/>
  <c r="F64" i="2"/>
  <c r="F65" i="2"/>
  <c r="F66" i="2"/>
  <c r="F67" i="2"/>
  <c r="F68" i="2"/>
  <c r="H76" i="2" l="1"/>
  <c r="E85" i="2"/>
  <c r="D85" i="2"/>
  <c r="C85" i="2"/>
  <c r="E81" i="2"/>
  <c r="D81" i="2"/>
  <c r="C81" i="2"/>
  <c r="E77" i="2"/>
  <c r="D77" i="2"/>
  <c r="C77" i="2"/>
  <c r="E76" i="2"/>
  <c r="D76" i="2"/>
  <c r="E84" i="2"/>
  <c r="D84" i="2"/>
  <c r="C84" i="2"/>
  <c r="E80" i="2"/>
  <c r="D80" i="2"/>
  <c r="C80" i="2"/>
  <c r="E87" i="2"/>
  <c r="D87" i="2"/>
  <c r="C87" i="2"/>
  <c r="E83" i="2"/>
  <c r="D83" i="2"/>
  <c r="C83" i="2"/>
  <c r="E79" i="2"/>
  <c r="D79" i="2"/>
  <c r="C79" i="2"/>
  <c r="C86" i="2"/>
  <c r="D86" i="2"/>
  <c r="E86" i="2"/>
  <c r="D82" i="2"/>
  <c r="E82" i="2"/>
  <c r="C82" i="2"/>
  <c r="D78" i="2"/>
  <c r="C78" i="2"/>
  <c r="E78" i="2"/>
  <c r="F80" i="2" l="1"/>
  <c r="F79" i="2"/>
  <c r="F83" i="2"/>
  <c r="F87" i="2"/>
  <c r="F84" i="2"/>
  <c r="F76" i="2"/>
  <c r="B182" i="2"/>
  <c r="B200" i="2" s="1"/>
  <c r="F77" i="2"/>
  <c r="F81" i="2"/>
  <c r="F85" i="2"/>
  <c r="C182" i="2"/>
  <c r="C200" i="2" s="1"/>
  <c r="F78" i="2"/>
  <c r="F82" i="2"/>
  <c r="F86" i="2"/>
  <c r="D182" i="2"/>
  <c r="D200" i="2" s="1"/>
  <c r="H84" i="2"/>
  <c r="H87" i="2"/>
  <c r="H79" i="2"/>
  <c r="H85" i="2"/>
  <c r="H81" i="2"/>
  <c r="H80" i="2"/>
  <c r="H83" i="2"/>
  <c r="H86" i="2"/>
  <c r="H82" i="2"/>
  <c r="H78" i="2"/>
  <c r="H77" i="2"/>
  <c r="C192" i="2" l="1"/>
  <c r="C210" i="2" s="1"/>
  <c r="B183" i="2"/>
  <c r="B201" i="2" s="1"/>
  <c r="D189" i="2"/>
  <c r="D207" i="2" s="1"/>
  <c r="B184" i="2"/>
  <c r="B202" i="2" s="1"/>
  <c r="B193" i="2"/>
  <c r="B211" i="2" s="1"/>
  <c r="C188" i="2"/>
  <c r="C206" i="2" s="1"/>
  <c r="C187" i="2"/>
  <c r="C205" i="2" s="1"/>
  <c r="D190" i="2"/>
  <c r="D208" i="2" s="1"/>
  <c r="D185" i="2"/>
  <c r="D203" i="2" s="1"/>
  <c r="D191" i="2"/>
  <c r="D209" i="2" s="1"/>
  <c r="C186" i="2"/>
  <c r="C204" i="2" s="1"/>
  <c r="D188" i="2"/>
  <c r="D206" i="2" s="1"/>
  <c r="D187" i="2"/>
  <c r="D205" i="2" s="1"/>
  <c r="B190" i="2"/>
  <c r="B208" i="2" s="1"/>
  <c r="C191" i="2"/>
  <c r="C209" i="2" s="1"/>
  <c r="D186" i="2"/>
  <c r="D204" i="2" s="1"/>
  <c r="C193" i="2"/>
  <c r="C211" i="2" s="1"/>
  <c r="D192" i="2"/>
  <c r="D210" i="2" s="1"/>
  <c r="B192" i="2"/>
  <c r="B210" i="2" s="1"/>
  <c r="B188" i="2"/>
  <c r="B206" i="2" s="1"/>
  <c r="B191" i="2"/>
  <c r="B209" i="2" s="1"/>
  <c r="C184" i="2"/>
  <c r="C202" i="2" s="1"/>
  <c r="E200" i="2"/>
  <c r="C183" i="2"/>
  <c r="C201" i="2" s="1"/>
  <c r="B189" i="2"/>
  <c r="B207" i="2" s="1"/>
  <c r="D183" i="2"/>
  <c r="D201" i="2" s="1"/>
  <c r="D193" i="2"/>
  <c r="D211" i="2" s="1"/>
  <c r="C189" i="2"/>
  <c r="C207" i="2" s="1"/>
  <c r="D184" i="2"/>
  <c r="D202" i="2" s="1"/>
  <c r="B185" i="2"/>
  <c r="B203" i="2" s="1"/>
  <c r="C190" i="2"/>
  <c r="C208" i="2" s="1"/>
  <c r="C185" i="2"/>
  <c r="C203" i="2" s="1"/>
  <c r="B187" i="2"/>
  <c r="B186" i="2"/>
  <c r="B204" i="2" s="1"/>
  <c r="E206" i="2" l="1"/>
  <c r="E210" i="2"/>
  <c r="E211" i="2"/>
  <c r="E204" i="2"/>
  <c r="E208" i="2"/>
  <c r="E201" i="2"/>
  <c r="E209" i="2"/>
  <c r="E207" i="2"/>
  <c r="B205" i="2"/>
  <c r="E205" i="2" s="1"/>
  <c r="E203" i="2"/>
  <c r="E52" i="1"/>
  <c r="B72" i="1" s="1"/>
  <c r="G91" i="1" s="1"/>
  <c r="E42" i="1"/>
  <c r="B62" i="1" s="1"/>
  <c r="G81" i="1" s="1"/>
  <c r="E43" i="1"/>
  <c r="B63" i="1" s="1"/>
  <c r="G82" i="1" s="1"/>
  <c r="E44" i="1"/>
  <c r="B64" i="1" s="1"/>
  <c r="G83" i="1" s="1"/>
  <c r="E46" i="1"/>
  <c r="B66" i="1" s="1"/>
  <c r="G85" i="1" s="1"/>
  <c r="E47" i="1"/>
  <c r="B67" i="1" s="1"/>
  <c r="G86" i="1" s="1"/>
  <c r="E48" i="1"/>
  <c r="B68" i="1" s="1"/>
  <c r="G87" i="1" s="1"/>
  <c r="E49" i="1"/>
  <c r="B69" i="1" s="1"/>
  <c r="G88" i="1" s="1"/>
  <c r="E50" i="1"/>
  <c r="B70" i="1" s="1"/>
  <c r="G89" i="1" s="1"/>
  <c r="E51" i="1"/>
  <c r="B71" i="1" s="1"/>
  <c r="G90" i="1" s="1"/>
  <c r="J19" i="3" l="1"/>
  <c r="E19" i="3" s="1"/>
  <c r="J18" i="3"/>
  <c r="E18" i="3" s="1"/>
  <c r="K17" i="3"/>
  <c r="J17" i="3"/>
  <c r="E17" i="3" s="1"/>
  <c r="K16" i="3"/>
  <c r="J16" i="3"/>
  <c r="E16" i="3" s="1"/>
  <c r="K15" i="3"/>
  <c r="J15" i="3"/>
  <c r="E15" i="3" s="1"/>
  <c r="K14" i="3"/>
  <c r="J14" i="3"/>
  <c r="E14" i="3" s="1"/>
  <c r="J13" i="3"/>
  <c r="E13" i="3" s="1"/>
  <c r="J12" i="3"/>
  <c r="E12" i="3" s="1"/>
  <c r="D221" i="1"/>
  <c r="C221" i="1"/>
  <c r="B221" i="1"/>
  <c r="C213" i="1"/>
  <c r="B213" i="1"/>
  <c r="D213" i="1"/>
  <c r="B216" i="1"/>
  <c r="D216" i="1"/>
  <c r="C216" i="1"/>
  <c r="B223" i="1"/>
  <c r="D223" i="1"/>
  <c r="C223" i="1"/>
  <c r="D220" i="1"/>
  <c r="C220" i="1"/>
  <c r="B220" i="1"/>
  <c r="D219" i="1"/>
  <c r="B219" i="1"/>
  <c r="C219" i="1"/>
  <c r="C215" i="1"/>
  <c r="D215" i="1"/>
  <c r="B215" i="1"/>
  <c r="D217" i="1"/>
  <c r="C217" i="1"/>
  <c r="B217" i="1"/>
  <c r="B222" i="1"/>
  <c r="C222" i="1"/>
  <c r="D222" i="1"/>
  <c r="C218" i="1"/>
  <c r="B218" i="1"/>
  <c r="D218" i="1"/>
  <c r="D214" i="1"/>
  <c r="C214" i="1"/>
  <c r="B214" i="1"/>
  <c r="E212" i="2"/>
  <c r="L19" i="3" l="1"/>
  <c r="F19" i="3"/>
  <c r="L18" i="3"/>
  <c r="F18" i="3"/>
  <c r="L17" i="3"/>
  <c r="F17" i="3"/>
  <c r="L16" i="3"/>
  <c r="F16" i="3"/>
  <c r="L15" i="3"/>
  <c r="F15" i="3"/>
  <c r="L14" i="3"/>
  <c r="F14" i="3"/>
  <c r="E20" i="3"/>
  <c r="L13" i="3"/>
  <c r="F13" i="3"/>
  <c r="L12" i="3"/>
  <c r="F12" i="3"/>
  <c r="G80" i="1"/>
  <c r="B237" i="1"/>
  <c r="C237" i="1"/>
  <c r="D237" i="1"/>
  <c r="C234" i="1"/>
  <c r="B234" i="1"/>
  <c r="D234" i="1"/>
  <c r="C242" i="1"/>
  <c r="D242" i="1"/>
  <c r="B242" i="1"/>
  <c r="C239" i="1"/>
  <c r="B239" i="1"/>
  <c r="D239" i="1"/>
  <c r="B236" i="1"/>
  <c r="D236" i="1"/>
  <c r="C236" i="1"/>
  <c r="C233" i="1"/>
  <c r="D233" i="1"/>
  <c r="B233" i="1"/>
  <c r="B241" i="1"/>
  <c r="C241" i="1"/>
  <c r="D241" i="1"/>
  <c r="B238" i="1"/>
  <c r="D238" i="1"/>
  <c r="C238" i="1"/>
  <c r="C235" i="1"/>
  <c r="B235" i="1"/>
  <c r="D235" i="1"/>
  <c r="C232" i="1"/>
  <c r="B232" i="1"/>
  <c r="D232" i="1"/>
  <c r="B240" i="1"/>
  <c r="C240" i="1"/>
  <c r="D240" i="1"/>
  <c r="F20" i="3" l="1"/>
  <c r="D212" i="1"/>
  <c r="D231" i="1" s="1"/>
  <c r="B212" i="1"/>
  <c r="B231" i="1" s="1"/>
  <c r="C212" i="1"/>
  <c r="C231" i="1" s="1"/>
  <c r="E232" i="1"/>
  <c r="G8" i="6" s="1"/>
  <c r="E231" i="1" l="1"/>
  <c r="G7" i="6" s="1"/>
  <c r="E234" i="1" l="1"/>
  <c r="G10" i="6" s="1"/>
  <c r="E237" i="1"/>
  <c r="G13" i="6" s="1"/>
  <c r="E235" i="1"/>
  <c r="G11" i="6" s="1"/>
  <c r="E233" i="1"/>
  <c r="G9" i="6" s="1"/>
  <c r="E242" i="1"/>
  <c r="G18" i="6" s="1"/>
  <c r="E236" i="1"/>
  <c r="G12" i="6" s="1"/>
  <c r="E238" i="1"/>
  <c r="G14" i="6" s="1"/>
  <c r="E241" i="1"/>
  <c r="G17" i="6" s="1"/>
  <c r="E239" i="1"/>
  <c r="G15" i="6" s="1"/>
  <c r="E240" i="1"/>
  <c r="G16" i="6" s="1"/>
  <c r="G19" i="6" l="1"/>
  <c r="E2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Nieuwold A.H.</author>
  </authors>
  <commentList>
    <comment ref="B5" authorId="0" shapeId="0" xr:uid="{ED2691C9-099F-4945-8703-DD529EE1A89E}">
      <text>
        <r>
          <rPr>
            <b/>
            <sz val="9"/>
            <color indexed="10"/>
            <rFont val="Tahoma"/>
            <family val="2"/>
          </rPr>
          <t>Use dropdown to select kWh/h or m3/h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<sst xmlns="http://schemas.openxmlformats.org/spreadsheetml/2006/main" count="646" uniqueCount="181">
  <si>
    <t>Quick cost calculator for Telemetry End Users (GXX, GGV) in regional grids</t>
  </si>
  <si>
    <t>kWh/h</t>
  </si>
  <si>
    <t>Based on max usage (winterpiek) of the most recent 3 winter months (Jan, Feb, Dec)</t>
  </si>
  <si>
    <t>m3/h (n:35,17)</t>
  </si>
  <si>
    <t>Costs calculator Telemetry OV-Exit</t>
  </si>
  <si>
    <t>Resulting monthly fee OV-Exit telemetry 2024</t>
  </si>
  <si>
    <t>Max usage M+1</t>
  </si>
  <si>
    <t>Max usage M+4</t>
  </si>
  <si>
    <t xml:space="preserve">Costs M+1 </t>
  </si>
  <si>
    <t>Costs M+4</t>
  </si>
  <si>
    <t>All-in monthly fee M+1</t>
  </si>
  <si>
    <t>All-in monthly fee M+4</t>
  </si>
  <si>
    <t>all-in</t>
  </si>
  <si>
    <t>€/kWh/h</t>
  </si>
  <si>
    <t>€/m3/h (n:35,17)</t>
  </si>
  <si>
    <t>Legenda</t>
  </si>
  <si>
    <t>January</t>
  </si>
  <si>
    <t>Input cells to be filled in by user</t>
  </si>
  <si>
    <t>February</t>
  </si>
  <si>
    <t>Prognosed all in tariff / calculation (includes preliminary fitfactor)</t>
  </si>
  <si>
    <t>March</t>
  </si>
  <si>
    <t>Definite M+1</t>
  </si>
  <si>
    <t>April</t>
  </si>
  <si>
    <t>Definite M+4</t>
  </si>
  <si>
    <t>May</t>
  </si>
  <si>
    <t>June</t>
  </si>
  <si>
    <t>July</t>
  </si>
  <si>
    <t>Explanation</t>
  </si>
  <si>
    <t>August</t>
  </si>
  <si>
    <t>All-in monthly fee = including all factors for transport and neutrality fee for OV-Exits</t>
  </si>
  <si>
    <t>September</t>
  </si>
  <si>
    <t>M+1 = invoicing initial costs and fee in the month after delivery</t>
  </si>
  <si>
    <t>October</t>
  </si>
  <si>
    <t>M+4 = invoicing definite cost and fee four months after delivery</t>
  </si>
  <si>
    <t>November</t>
  </si>
  <si>
    <t>December</t>
  </si>
  <si>
    <t>Total</t>
  </si>
  <si>
    <t xml:space="preserve">Note: due to roundings there might be small differences between the amounts in this sheet compared to the amounts invoiced </t>
  </si>
  <si>
    <t>Profile End Users (G1A, G2A, G2C, GMN)</t>
  </si>
  <si>
    <t>SJV in kWh</t>
  </si>
  <si>
    <t>Calculated</t>
  </si>
  <si>
    <t>Month</t>
  </si>
  <si>
    <t>G1A</t>
  </si>
  <si>
    <t>G2A</t>
  </si>
  <si>
    <t>G2C</t>
  </si>
  <si>
    <t>GMN</t>
  </si>
  <si>
    <t>Costs*</t>
  </si>
  <si>
    <t>Total year</t>
  </si>
  <si>
    <t>Calculation of DSO exit capacity costs for Telemetry large scale end users (GXX, GGV)</t>
  </si>
  <si>
    <t>Once a year</t>
  </si>
  <si>
    <t>Step 1</t>
  </si>
  <si>
    <t>GTS calculates the total market max. usage for telemetry end users based on OV-exit data received from DSO's</t>
  </si>
  <si>
    <t>Step 2</t>
  </si>
  <si>
    <t>GTS calculates the profile factor for each month (revised per 1 january 2023)</t>
  </si>
  <si>
    <t>Step 3</t>
  </si>
  <si>
    <t>GTS calculates the capacity profile for the whole telemetry end user market</t>
  </si>
  <si>
    <t>Step 4</t>
  </si>
  <si>
    <r>
      <t xml:space="preserve">Based on the total market capacity profile, GTS determines the optimal conversion to standard products: </t>
    </r>
    <r>
      <rPr>
        <i/>
        <sz val="11"/>
        <color theme="1"/>
        <rFont val="Calibri"/>
        <family val="2"/>
        <scheme val="minor"/>
      </rPr>
      <t>Year, Quarter and Month products</t>
    </r>
  </si>
  <si>
    <t>GTS website - FCFS</t>
  </si>
  <si>
    <t>Step 5</t>
  </si>
  <si>
    <r>
      <t xml:space="preserve">GTS calculates which part of the capacity will be converted to a </t>
    </r>
    <r>
      <rPr>
        <i/>
        <sz val="11"/>
        <color theme="1"/>
        <rFont val="Calibri"/>
        <family val="2"/>
        <scheme val="minor"/>
      </rPr>
      <t>Year product</t>
    </r>
    <r>
      <rPr>
        <sz val="11"/>
        <color theme="1"/>
        <rFont val="Calibri"/>
        <family val="2"/>
        <scheme val="minor"/>
      </rPr>
      <t xml:space="preserve">, which part will be converted to a </t>
    </r>
    <r>
      <rPr>
        <i/>
        <sz val="11"/>
        <color theme="1"/>
        <rFont val="Calibri"/>
        <family val="2"/>
        <scheme val="minor"/>
      </rPr>
      <t>Quarter product</t>
    </r>
    <r>
      <rPr>
        <sz val="11"/>
        <color theme="1"/>
        <rFont val="Calibri"/>
        <family val="2"/>
        <scheme val="minor"/>
      </rPr>
      <t xml:space="preserve"> and which part will be converted to a </t>
    </r>
    <r>
      <rPr>
        <i/>
        <sz val="11"/>
        <color theme="1"/>
        <rFont val="Calibri"/>
        <family val="2"/>
        <scheme val="minor"/>
      </rPr>
      <t>Month product</t>
    </r>
  </si>
  <si>
    <r>
      <t xml:space="preserve">The result is expressed in the </t>
    </r>
    <r>
      <rPr>
        <i/>
        <sz val="11"/>
        <color theme="1"/>
        <rFont val="Calibri"/>
        <family val="2"/>
        <scheme val="minor"/>
      </rPr>
      <t>Split factors</t>
    </r>
    <r>
      <rPr>
        <sz val="11"/>
        <color theme="1"/>
        <rFont val="Calibri"/>
        <family val="2"/>
        <scheme val="minor"/>
      </rPr>
      <t xml:space="preserve"> and </t>
    </r>
    <r>
      <rPr>
        <i/>
        <sz val="11"/>
        <color theme="1"/>
        <rFont val="Calibri"/>
        <family val="2"/>
        <scheme val="minor"/>
      </rPr>
      <t>Booking factor</t>
    </r>
  </si>
  <si>
    <t>Step 6</t>
  </si>
  <si>
    <t>GTS calculates the plan capacity for telemetry end users</t>
  </si>
  <si>
    <t>Telemetry end users</t>
  </si>
  <si>
    <t>Total market max usage (kWh/h)</t>
  </si>
  <si>
    <t>GXX and GGV</t>
  </si>
  <si>
    <t>Profile factor</t>
  </si>
  <si>
    <t>Capacity profile (kWh/h)</t>
  </si>
  <si>
    <t>Capacity profile</t>
  </si>
  <si>
    <t>Year product</t>
  </si>
  <si>
    <t>Quarter product</t>
  </si>
  <si>
    <t>Month product</t>
  </si>
  <si>
    <t>Total contracted</t>
  </si>
  <si>
    <t>Split factors*</t>
  </si>
  <si>
    <t>Booking factor*</t>
  </si>
  <si>
    <t>Year</t>
  </si>
  <si>
    <t>Quarter</t>
  </si>
  <si>
    <r>
      <t xml:space="preserve">*Full factors (without rounding to 2 decimal places) can be found in the </t>
    </r>
    <r>
      <rPr>
        <i/>
        <sz val="9"/>
        <color theme="1"/>
        <rFont val="Calibri"/>
        <family val="2"/>
        <scheme val="minor"/>
      </rPr>
      <t>Factors and fraction</t>
    </r>
    <r>
      <rPr>
        <sz val="9"/>
        <color theme="1"/>
        <rFont val="Calibri"/>
        <family val="2"/>
        <scheme val="minor"/>
      </rPr>
      <t xml:space="preserve"> sheet</t>
    </r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</si>
  <si>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</si>
  <si>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t>Plan capacity telemetry</t>
  </si>
  <si>
    <t>Each month: How can a shipper calculate the  monthly capacity and monthly costs?</t>
  </si>
  <si>
    <t>GTS calculates each month the total market max. usage for telemetry end users based on OV-exit data received from DSO's</t>
  </si>
  <si>
    <r>
      <t xml:space="preserve">GTS calculates each month a new </t>
    </r>
    <r>
      <rPr>
        <i/>
        <sz val="11"/>
        <color theme="1"/>
        <rFont val="Calibri"/>
        <family val="2"/>
        <scheme val="minor"/>
      </rPr>
      <t>Fit factor</t>
    </r>
    <r>
      <rPr>
        <sz val="11"/>
        <color theme="1"/>
        <rFont val="Calibri"/>
        <family val="2"/>
        <scheme val="minor"/>
      </rPr>
      <t xml:space="preserve"> : </t>
    </r>
    <r>
      <rPr>
        <i/>
        <sz val="11"/>
        <color theme="1"/>
        <rFont val="Calibri"/>
        <family val="2"/>
        <scheme val="minor"/>
      </rPr>
      <t>Plan capacity telemetry end users / Sum of max. usage telemetry end users</t>
    </r>
  </si>
  <si>
    <t>GTS and shipper receive each month OV-exit data with an update of the max. usages per shipper of the two category types (GXX and GGV)</t>
  </si>
  <si>
    <r>
      <t xml:space="preserve">The shipper capacity can be calculated through: </t>
    </r>
    <r>
      <rPr>
        <i/>
        <sz val="11"/>
        <color theme="1"/>
        <rFont val="Calibri"/>
        <family val="2"/>
        <scheme val="minor"/>
      </rPr>
      <t>Capacity = Max. usage * Profile factor * Fit factor telemetry</t>
    </r>
  </si>
  <si>
    <r>
      <t xml:space="preserve">The determined total monthly capacity for shipper will be converted to standard capacity products using the </t>
    </r>
    <r>
      <rPr>
        <i/>
        <sz val="11"/>
        <color theme="1"/>
        <rFont val="Calibri"/>
        <family val="2"/>
        <scheme val="minor"/>
      </rPr>
      <t>Split factors</t>
    </r>
    <r>
      <rPr>
        <sz val="11"/>
        <color theme="1"/>
        <rFont val="Calibri"/>
        <family val="2"/>
        <scheme val="minor"/>
      </rPr>
      <t xml:space="preserve"> and the </t>
    </r>
    <r>
      <rPr>
        <i/>
        <sz val="11"/>
        <color theme="1"/>
        <rFont val="Calibri"/>
        <family val="2"/>
        <scheme val="minor"/>
      </rPr>
      <t>Booking factor</t>
    </r>
    <r>
      <rPr>
        <sz val="11"/>
        <color theme="1"/>
        <rFont val="Calibri"/>
        <family val="2"/>
        <scheme val="minor"/>
      </rPr>
      <t xml:space="preserve">, e.g. </t>
    </r>
    <r>
      <rPr>
        <i/>
        <sz val="11"/>
        <color theme="1"/>
        <rFont val="Calibri"/>
        <family val="2"/>
        <scheme val="minor"/>
      </rPr>
      <t>Year product = Capacity * Split factor Year * Booking factor</t>
    </r>
    <r>
      <rPr>
        <sz val="11"/>
        <color theme="1"/>
        <rFont val="Calibri"/>
        <family val="2"/>
        <scheme val="minor"/>
      </rPr>
      <t xml:space="preserve">. </t>
    </r>
  </si>
  <si>
    <t>These products will be contracted</t>
  </si>
  <si>
    <t>Based on the standard capacity products the costs per month can be calculated</t>
  </si>
  <si>
    <t>Not definite</t>
  </si>
  <si>
    <t>Definite M1</t>
  </si>
  <si>
    <t>Definite M4</t>
  </si>
  <si>
    <t>Fit factor Telemetry (updated each month)</t>
  </si>
  <si>
    <t>Max. usage shipper (kWh/h)*</t>
  </si>
  <si>
    <t>Shipper capacity (kWh/h)</t>
  </si>
  <si>
    <t>Products per month (kWh/h)</t>
  </si>
  <si>
    <t>Monthly costs (EUR)</t>
  </si>
  <si>
    <t>Total per month</t>
  </si>
  <si>
    <t>Calculation of DSO exit capacity costs for profile end users (G1A, G2A, G2C, GMN)</t>
  </si>
  <si>
    <t xml:space="preserve">Once a year  </t>
  </si>
  <si>
    <t>GTS calculates the maximum hourly fractions based on Verbruiksprofielen Gas</t>
  </si>
  <si>
    <t>BASMFF factoren</t>
  </si>
  <si>
    <t>GTS calculates the yearly usage for the total market based on OV-exit data that GTS receives from the DSO's</t>
  </si>
  <si>
    <t>This calculated data is input for calculating the capacity profile for the total market for the next year</t>
  </si>
  <si>
    <t>Based on the total market capacity profile, GTS determines the optimal conversion to standard products: Year, Quarter and Month products</t>
  </si>
  <si>
    <t>GTS calculates which part of the capacity will be converted to a Year product, which part will be converted to a Quarter product and which part will be converted to a Month product.</t>
  </si>
  <si>
    <t>The result is expressed in the Split factors and Booking factor</t>
  </si>
  <si>
    <t>GTS calculates the standard capacity for profile users</t>
  </si>
  <si>
    <t>Ref. temp</t>
  </si>
  <si>
    <t>Hourly Fraction G1A</t>
  </si>
  <si>
    <t>Hourly Fraction G2A</t>
  </si>
  <si>
    <t>Hourly Fraction G2C/GMN</t>
  </si>
  <si>
    <t>-9/-17</t>
  </si>
  <si>
    <t>Standard yearly usage G1A (kWh/y)</t>
  </si>
  <si>
    <t>Standard yearly usage G2A (kWh/y)</t>
  </si>
  <si>
    <t>Standard yearly usage G2C/GMN (kWh/y)</t>
  </si>
  <si>
    <t>Profile end users</t>
  </si>
  <si>
    <t>Capacity G1A</t>
  </si>
  <si>
    <t>Capacity G2A</t>
  </si>
  <si>
    <t>Capacity G2C/GMN</t>
  </si>
  <si>
    <t>Capacity Profile</t>
  </si>
  <si>
    <r>
      <t xml:space="preserve">*Full factors (without rounding to 2 decimal places) can be found in the </t>
    </r>
    <r>
      <rPr>
        <i/>
        <sz val="11"/>
        <color theme="1"/>
        <rFont val="Calibri"/>
        <family val="2"/>
        <scheme val="minor"/>
      </rPr>
      <t>Factors and fraction</t>
    </r>
    <r>
      <rPr>
        <sz val="11"/>
        <color theme="1"/>
        <rFont val="Calibri"/>
        <family val="2"/>
        <scheme val="minor"/>
      </rPr>
      <t xml:space="preserve"> sheet</t>
    </r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</si>
  <si>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/h</t>
    </r>
  </si>
  <si>
    <t>Standard capacity for profile users</t>
  </si>
  <si>
    <t>GTS calculates each month the total standard yearly usage per category type (G1A, G2A, G2C and GMN) based on OV-exit data received from DSO's</t>
  </si>
  <si>
    <t>Based on the standard yearly usage per category type (G1A, G2A, G2C, GMN), GTS calculates each month the model capacity</t>
  </si>
  <si>
    <r>
      <t xml:space="preserve">GTS calculates each month a new fit factor : </t>
    </r>
    <r>
      <rPr>
        <i/>
        <sz val="11"/>
        <color theme="1"/>
        <rFont val="Calibri"/>
        <family val="2"/>
        <scheme val="minor"/>
      </rPr>
      <t>Standard capacity for profile users / Model capacity profile users</t>
    </r>
  </si>
  <si>
    <t>GTS and shipper receive each month OV-exit data with an update of the standard yearly usage per shipper in the three category types (G1A, G2A, G2C, GMN)</t>
  </si>
  <si>
    <r>
      <t xml:space="preserve">The shipper capacity per category type can be calculated through: </t>
    </r>
    <r>
      <rPr>
        <i/>
        <sz val="11"/>
        <color theme="1"/>
        <rFont val="Calibri"/>
        <family val="2"/>
        <scheme val="minor"/>
      </rPr>
      <t>Capacity = Standard Yearly Usage * Hourly Fraction * Fit factor</t>
    </r>
  </si>
  <si>
    <r>
      <t xml:space="preserve">The determined total monthly capacity for shipper will be converted to standard capacity products using the split factors and the booking factor, e.g. </t>
    </r>
    <r>
      <rPr>
        <i/>
        <sz val="11"/>
        <color theme="1"/>
        <rFont val="Calibri"/>
        <family val="2"/>
        <scheme val="minor"/>
      </rPr>
      <t>Year product = capacity * split factor Year * booking factor</t>
    </r>
    <r>
      <rPr>
        <sz val="11"/>
        <color theme="1"/>
        <rFont val="Calibri"/>
        <family val="2"/>
        <scheme val="minor"/>
      </rPr>
      <t>.</t>
    </r>
  </si>
  <si>
    <t>Step 7</t>
  </si>
  <si>
    <t>Standard yearly usage (SJV total market):</t>
  </si>
  <si>
    <t>Standard yearly usage G2C (kWh/y)</t>
  </si>
  <si>
    <t>Standard yearly usage GMN (kWh/y)</t>
  </si>
  <si>
    <t>Monthly Model capacity</t>
  </si>
  <si>
    <t>Capacity G1A (kWh/h)</t>
  </si>
  <si>
    <t>Capacity G2A (kWh/h)</t>
  </si>
  <si>
    <t>Capacity G2C (kWh/h)</t>
  </si>
  <si>
    <t>Capacity GMN (kWh/h)</t>
  </si>
  <si>
    <t>Total Monthly Model capacity (kWh/h)</t>
  </si>
  <si>
    <t>Fitfactor (will be upated each month)</t>
  </si>
  <si>
    <t>Standard yearly usage (SJV shipper):</t>
  </si>
  <si>
    <t>Standard yearly usage G1A (kWh/y)*</t>
  </si>
  <si>
    <t>Standard yearly usage G2A (kWh/y)*</t>
  </si>
  <si>
    <t>Standard yearly usage G2C (kWh/y)*</t>
  </si>
  <si>
    <t>Standard yearly usage GMN (kWh/y)*</t>
  </si>
  <si>
    <r>
      <t>*The SJV can be changed in the Q</t>
    </r>
    <r>
      <rPr>
        <i/>
        <sz val="9"/>
        <color theme="1"/>
        <rFont val="Calibri"/>
        <family val="2"/>
        <scheme val="minor"/>
      </rPr>
      <t>uick calculator Profile</t>
    </r>
    <r>
      <rPr>
        <sz val="9"/>
        <color theme="1"/>
        <rFont val="Calibri"/>
        <family val="2"/>
        <scheme val="minor"/>
      </rPr>
      <t xml:space="preserve"> sheet</t>
    </r>
  </si>
  <si>
    <t>Monthly shipper capacity</t>
  </si>
  <si>
    <t>Total Monthly shipper model capacity (kWh/h)</t>
  </si>
  <si>
    <t>Total Monthly shipper capacity (kWh/h)</t>
  </si>
  <si>
    <t>Tariffs</t>
  </si>
  <si>
    <t>Non-storage</t>
  </si>
  <si>
    <t>Exit</t>
  </si>
  <si>
    <t xml:space="preserve">Amount of days </t>
  </si>
  <si>
    <t>EUR/kWh/hr/year</t>
  </si>
  <si>
    <t>EUR/kWh/hr/q</t>
  </si>
  <si>
    <t>EUR/kWh/hr/month</t>
  </si>
  <si>
    <t>Hourly fraction 
G1A</t>
  </si>
  <si>
    <t>Hourly fraction 
G2A</t>
  </si>
  <si>
    <t>Hourly fraction
 G2C/GMN</t>
  </si>
  <si>
    <t>Split factor Year</t>
  </si>
  <si>
    <t>Split Factor Quarter</t>
  </si>
  <si>
    <t>Split Factor Month</t>
  </si>
  <si>
    <t>Booking factor</t>
  </si>
  <si>
    <t>Fit factor M1</t>
  </si>
  <si>
    <t>Fit factor M4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</si>
  <si>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</si>
  <si>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</si>
  <si>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</si>
  <si>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</si>
  <si>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</si>
  <si>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</si>
  <si>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</si>
  <si>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</si>
  <si>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</si>
  <si>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</si>
  <si>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</si>
  <si>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Split Factor Quarterly</t>
  </si>
  <si>
    <t>Fitfactor M1</t>
  </si>
  <si>
    <t>Fitfactor M4</t>
  </si>
  <si>
    <t>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</si>
</sst>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8" formatCode="&quot;€&quot;\ #,##0.00;[Red]&quot;€&quot;\ \-#,##0.00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"/>
    <numFmt numFmtId="165" formatCode="0.000000000"/>
    <numFmt numFmtId="166" formatCode="&quot;€&quot;\ #,##0.00000000"/>
    <numFmt numFmtId="167" formatCode="0.0000000000"/>
  </numFmts>
  <fonts count="4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Verdana"/>
      <family val="2"/>
    </font>
    <font>
      <b/>
      <sz val="14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i/>
      <sz val="10"/>
      <name val="Verdana"/>
      <family val="2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Calibri Light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indexed="10"/>
      <name val="Tahoma"/>
      <family val="2"/>
    </font>
    <font>
      <sz val="9"/>
      <color indexed="81"/>
      <name val="Tahoma"/>
      <family val="2"/>
    </font>
    <font>
      <sz val="11"/>
      <color theme="1"/>
      <name val="Wingdings"/>
      <charset val="2"/>
    </font>
    <font>
      <sz val="11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4"/>
      <color theme="0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8D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5F1F7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58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rgb="FFDDDDD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5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9" fontId="11" fillId="5" borderId="7">
      <alignment vertical="top"/>
    </xf>
    <xf numFmtId="0" fontId="12" fillId="0" borderId="0">
      <alignment vertical="top"/>
    </xf>
    <xf numFmtId="0" fontId="27" fillId="0" borderId="0"/>
    <xf numFmtId="0" fontId="35" fillId="0" borderId="0" applyNumberFormat="0" applyFill="0" applyBorder="0" applyAlignment="0" applyProtection="0"/>
    <xf numFmtId="0" fontId="36" fillId="0" borderId="48" applyNumberFormat="0" applyFill="0" applyAlignment="0" applyProtection="0"/>
    <xf numFmtId="0" fontId="37" fillId="0" borderId="49" applyNumberFormat="0" applyFill="0" applyAlignment="0" applyProtection="0"/>
    <xf numFmtId="0" fontId="38" fillId="0" borderId="50" applyNumberFormat="0" applyFill="0" applyAlignment="0" applyProtection="0"/>
    <xf numFmtId="0" fontId="38" fillId="0" borderId="0" applyNumberFormat="0" applyFill="0" applyBorder="0" applyAlignment="0" applyProtection="0"/>
    <xf numFmtId="0" fontId="39" fillId="12" borderId="0" applyNumberFormat="0" applyBorder="0" applyAlignment="0" applyProtection="0"/>
    <xf numFmtId="0" fontId="40" fillId="13" borderId="0" applyNumberFormat="0" applyBorder="0" applyAlignment="0" applyProtection="0"/>
    <xf numFmtId="0" fontId="41" fillId="14" borderId="0" applyNumberFormat="0" applyBorder="0" applyAlignment="0" applyProtection="0"/>
    <xf numFmtId="0" fontId="42" fillId="15" borderId="51" applyNumberFormat="0" applyAlignment="0" applyProtection="0"/>
    <xf numFmtId="0" fontId="43" fillId="16" borderId="52" applyNumberFormat="0" applyAlignment="0" applyProtection="0"/>
    <xf numFmtId="0" fontId="44" fillId="16" borderId="51" applyNumberFormat="0" applyAlignment="0" applyProtection="0"/>
    <xf numFmtId="0" fontId="45" fillId="0" borderId="53" applyNumberFormat="0" applyFill="0" applyAlignment="0" applyProtection="0"/>
    <xf numFmtId="0" fontId="46" fillId="17" borderId="54" applyNumberFormat="0" applyAlignment="0" applyProtection="0"/>
    <xf numFmtId="0" fontId="1" fillId="0" borderId="0" applyNumberFormat="0" applyFill="0" applyBorder="0" applyAlignment="0" applyProtection="0"/>
    <xf numFmtId="0" fontId="9" fillId="18" borderId="55" applyNumberFormat="0" applyFont="0" applyAlignment="0" applyProtection="0"/>
    <xf numFmtId="0" fontId="47" fillId="0" borderId="0" applyNumberFormat="0" applyFill="0" applyBorder="0" applyAlignment="0" applyProtection="0"/>
    <xf numFmtId="0" fontId="2" fillId="0" borderId="56" applyNumberFormat="0" applyFill="0" applyAlignment="0" applyProtection="0"/>
    <xf numFmtId="0" fontId="34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34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34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34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34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34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43" fontId="9" fillId="0" borderId="0" applyFont="0" applyFill="0" applyBorder="0" applyAlignment="0" applyProtection="0"/>
    <xf numFmtId="49" fontId="48" fillId="43" borderId="7">
      <alignment vertical="top"/>
    </xf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2" fillId="0" borderId="0"/>
  </cellStyleXfs>
  <cellXfs count="195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/>
    <xf numFmtId="0" fontId="7" fillId="0" borderId="0" xfId="0" applyFont="1"/>
    <xf numFmtId="0" fontId="5" fillId="0" borderId="0" xfId="1"/>
    <xf numFmtId="0" fontId="0" fillId="0" borderId="4" xfId="0" applyBorder="1"/>
    <xf numFmtId="0" fontId="10" fillId="0" borderId="3" xfId="0" applyFont="1" applyBorder="1" applyAlignment="1">
      <alignment vertical="center"/>
    </xf>
    <xf numFmtId="0" fontId="4" fillId="3" borderId="4" xfId="0" applyFont="1" applyFill="1" applyBorder="1" applyAlignment="1">
      <alignment horizontal="left" vertical="center"/>
    </xf>
    <xf numFmtId="0" fontId="0" fillId="0" borderId="6" xfId="0" applyBorder="1"/>
    <xf numFmtId="0" fontId="6" fillId="0" borderId="0" xfId="0" applyFont="1"/>
    <xf numFmtId="2" fontId="4" fillId="0" borderId="4" xfId="0" applyNumberFormat="1" applyFont="1" applyBorder="1"/>
    <xf numFmtId="0" fontId="13" fillId="0" borderId="0" xfId="0" applyFont="1"/>
    <xf numFmtId="0" fontId="6" fillId="0" borderId="4" xfId="0" applyFont="1" applyBorder="1" applyAlignment="1">
      <alignment horizontal="center" vertical="center"/>
    </xf>
    <xf numFmtId="0" fontId="4" fillId="0" borderId="4" xfId="4" applyFont="1" applyBorder="1" applyAlignment="1">
      <alignment vertical="center"/>
    </xf>
    <xf numFmtId="0" fontId="5" fillId="0" borderId="0" xfId="1" applyProtection="1"/>
    <xf numFmtId="0" fontId="3" fillId="0" borderId="2" xfId="0" applyFont="1" applyBorder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left" vertical="center"/>
    </xf>
    <xf numFmtId="3" fontId="4" fillId="0" borderId="0" xfId="0" applyNumberFormat="1" applyFont="1"/>
    <xf numFmtId="0" fontId="4" fillId="0" borderId="4" xfId="0" applyFont="1" applyBorder="1" applyAlignment="1">
      <alignment horizontal="center" vertical="center"/>
    </xf>
    <xf numFmtId="3" fontId="0" fillId="0" borderId="0" xfId="0" applyNumberFormat="1"/>
    <xf numFmtId="4" fontId="0" fillId="0" borderId="0" xfId="0" applyNumberFormat="1"/>
    <xf numFmtId="0" fontId="4" fillId="6" borderId="0" xfId="0" applyFont="1" applyFill="1"/>
    <xf numFmtId="2" fontId="4" fillId="0" borderId="0" xfId="0" applyNumberFormat="1" applyFont="1"/>
    <xf numFmtId="0" fontId="15" fillId="0" borderId="0" xfId="0" applyFont="1"/>
    <xf numFmtId="49" fontId="4" fillId="0" borderId="0" xfId="0" applyNumberFormat="1" applyFont="1" applyAlignment="1">
      <alignment horizontal="right" vertical="center" wrapText="1"/>
    </xf>
    <xf numFmtId="165" fontId="4" fillId="0" borderId="0" xfId="0" applyNumberFormat="1" applyFont="1" applyAlignment="1">
      <alignment vertical="center" wrapText="1"/>
    </xf>
    <xf numFmtId="0" fontId="17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0" fillId="0" borderId="0" xfId="0" applyNumberFormat="1"/>
    <xf numFmtId="0" fontId="0" fillId="7" borderId="0" xfId="0" applyFill="1"/>
    <xf numFmtId="0" fontId="6" fillId="3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right" vertical="top"/>
    </xf>
    <xf numFmtId="0" fontId="2" fillId="0" borderId="4" xfId="0" applyFont="1" applyBorder="1"/>
    <xf numFmtId="0" fontId="6" fillId="2" borderId="4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horizontal="right"/>
    </xf>
    <xf numFmtId="0" fontId="16" fillId="2" borderId="4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left" vertical="center"/>
    </xf>
    <xf numFmtId="0" fontId="14" fillId="0" borderId="4" xfId="0" applyFont="1" applyBorder="1"/>
    <xf numFmtId="164" fontId="2" fillId="0" borderId="0" xfId="0" applyNumberFormat="1" applyFont="1"/>
    <xf numFmtId="0" fontId="2" fillId="0" borderId="4" xfId="0" applyFont="1" applyBorder="1" applyAlignment="1">
      <alignment horizontal="right"/>
    </xf>
    <xf numFmtId="0" fontId="6" fillId="0" borderId="9" xfId="0" applyFont="1" applyBorder="1" applyAlignment="1">
      <alignment horizontal="right" vertical="center"/>
    </xf>
    <xf numFmtId="0" fontId="2" fillId="0" borderId="4" xfId="0" applyFont="1" applyBorder="1" applyAlignment="1">
      <alignment horizontal="right" wrapText="1"/>
    </xf>
    <xf numFmtId="0" fontId="2" fillId="0" borderId="10" xfId="0" applyFont="1" applyBorder="1" applyAlignment="1">
      <alignment horizontal="right"/>
    </xf>
    <xf numFmtId="0" fontId="6" fillId="0" borderId="4" xfId="0" applyFont="1" applyBorder="1"/>
    <xf numFmtId="0" fontId="0" fillId="0" borderId="4" xfId="0" applyBorder="1" applyAlignment="1">
      <alignment horizontal="right"/>
    </xf>
    <xf numFmtId="0" fontId="0" fillId="4" borderId="4" xfId="0" applyFill="1" applyBorder="1"/>
    <xf numFmtId="3" fontId="0" fillId="0" borderId="4" xfId="0" applyNumberFormat="1" applyBorder="1"/>
    <xf numFmtId="0" fontId="22" fillId="0" borderId="0" xfId="0" applyFont="1"/>
    <xf numFmtId="3" fontId="4" fillId="4" borderId="4" xfId="0" applyNumberFormat="1" applyFont="1" applyFill="1" applyBorder="1" applyAlignment="1">
      <alignment vertical="center" wrapText="1"/>
    </xf>
    <xf numFmtId="3" fontId="0" fillId="4" borderId="4" xfId="0" applyNumberFormat="1" applyFill="1" applyBorder="1"/>
    <xf numFmtId="3" fontId="4" fillId="4" borderId="4" xfId="0" applyNumberFormat="1" applyFont="1" applyFill="1" applyBorder="1"/>
    <xf numFmtId="164" fontId="4" fillId="4" borderId="4" xfId="0" applyNumberFormat="1" applyFont="1" applyFill="1" applyBorder="1"/>
    <xf numFmtId="164" fontId="0" fillId="4" borderId="4" xfId="0" applyNumberFormat="1" applyFill="1" applyBorder="1"/>
    <xf numFmtId="0" fontId="24" fillId="0" borderId="0" xfId="0" applyFont="1"/>
    <xf numFmtId="0" fontId="6" fillId="0" borderId="9" xfId="0" applyFont="1" applyBorder="1" applyAlignment="1">
      <alignment vertical="center"/>
    </xf>
    <xf numFmtId="0" fontId="2" fillId="0" borderId="5" xfId="0" applyFont="1" applyBorder="1"/>
    <xf numFmtId="0" fontId="2" fillId="0" borderId="5" xfId="0" applyFont="1" applyBorder="1" applyAlignment="1">
      <alignment horizontal="right"/>
    </xf>
    <xf numFmtId="0" fontId="2" fillId="0" borderId="5" xfId="0" applyFont="1" applyBorder="1" applyAlignment="1">
      <alignment horizontal="right" wrapText="1"/>
    </xf>
    <xf numFmtId="0" fontId="4" fillId="0" borderId="0" xfId="0" applyFont="1"/>
    <xf numFmtId="0" fontId="26" fillId="0" borderId="4" xfId="0" applyFont="1" applyBorder="1" applyAlignment="1">
      <alignment horizontal="center" vertical="center"/>
    </xf>
    <xf numFmtId="0" fontId="4" fillId="3" borderId="11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vertical="center" wrapText="1"/>
    </xf>
    <xf numFmtId="0" fontId="4" fillId="0" borderId="11" xfId="0" applyFont="1" applyBorder="1"/>
    <xf numFmtId="2" fontId="4" fillId="8" borderId="0" xfId="0" applyNumberFormat="1" applyFont="1" applyFill="1"/>
    <xf numFmtId="0" fontId="0" fillId="0" borderId="19" xfId="0" applyBorder="1"/>
    <xf numFmtId="0" fontId="8" fillId="0" borderId="21" xfId="0" applyFont="1" applyBorder="1"/>
    <xf numFmtId="0" fontId="2" fillId="0" borderId="12" xfId="0" applyFont="1" applyBorder="1"/>
    <xf numFmtId="0" fontId="2" fillId="0" borderId="13" xfId="0" applyFont="1" applyBorder="1"/>
    <xf numFmtId="0" fontId="0" fillId="0" borderId="12" xfId="0" applyBorder="1"/>
    <xf numFmtId="0" fontId="0" fillId="0" borderId="14" xfId="0" applyBorder="1"/>
    <xf numFmtId="4" fontId="0" fillId="0" borderId="15" xfId="0" applyNumberFormat="1" applyBorder="1"/>
    <xf numFmtId="0" fontId="0" fillId="0" borderId="15" xfId="0" applyBorder="1"/>
    <xf numFmtId="0" fontId="2" fillId="0" borderId="15" xfId="0" applyFont="1" applyBorder="1"/>
    <xf numFmtId="164" fontId="2" fillId="0" borderId="16" xfId="0" applyNumberFormat="1" applyFont="1" applyBorder="1"/>
    <xf numFmtId="0" fontId="13" fillId="4" borderId="0" xfId="5" applyFont="1" applyFill="1"/>
    <xf numFmtId="0" fontId="28" fillId="4" borderId="0" xfId="5" applyFont="1" applyFill="1"/>
    <xf numFmtId="0" fontId="0" fillId="0" borderId="0" xfId="5" applyFont="1"/>
    <xf numFmtId="0" fontId="0" fillId="4" borderId="0" xfId="5" applyFont="1" applyFill="1"/>
    <xf numFmtId="0" fontId="2" fillId="0" borderId="0" xfId="5" applyFont="1"/>
    <xf numFmtId="0" fontId="0" fillId="9" borderId="0" xfId="5" applyFont="1" applyFill="1"/>
    <xf numFmtId="0" fontId="2" fillId="0" borderId="15" xfId="5" applyFont="1" applyBorder="1"/>
    <xf numFmtId="0" fontId="4" fillId="0" borderId="4" xfId="0" applyFont="1" applyBorder="1"/>
    <xf numFmtId="2" fontId="4" fillId="4" borderId="4" xfId="0" applyNumberFormat="1" applyFont="1" applyFill="1" applyBorder="1"/>
    <xf numFmtId="2" fontId="4" fillId="4" borderId="9" xfId="0" applyNumberFormat="1" applyFont="1" applyFill="1" applyBorder="1"/>
    <xf numFmtId="164" fontId="2" fillId="0" borderId="24" xfId="5" applyNumberFormat="1" applyFont="1" applyBorder="1" applyAlignment="1">
      <alignment horizontal="center"/>
    </xf>
    <xf numFmtId="164" fontId="0" fillId="7" borderId="4" xfId="5" applyNumberFormat="1" applyFont="1" applyFill="1" applyBorder="1" applyAlignment="1">
      <alignment horizontal="center"/>
    </xf>
    <xf numFmtId="164" fontId="2" fillId="0" borderId="15" xfId="5" applyNumberFormat="1" applyFont="1" applyBorder="1" applyAlignment="1">
      <alignment horizontal="center"/>
    </xf>
    <xf numFmtId="0" fontId="2" fillId="4" borderId="4" xfId="5" applyFont="1" applyFill="1" applyBorder="1" applyAlignment="1">
      <alignment horizontal="center" vertical="center" wrapText="1"/>
    </xf>
    <xf numFmtId="0" fontId="2" fillId="4" borderId="22" xfId="5" applyFont="1" applyFill="1" applyBorder="1" applyAlignment="1">
      <alignment horizontal="center" vertical="center" wrapText="1"/>
    </xf>
    <xf numFmtId="0" fontId="9" fillId="4" borderId="4" xfId="5" applyFont="1" applyFill="1" applyBorder="1" applyAlignment="1">
      <alignment horizontal="center" vertical="center" wrapText="1"/>
    </xf>
    <xf numFmtId="0" fontId="9" fillId="4" borderId="22" xfId="5" applyFont="1" applyFill="1" applyBorder="1" applyAlignment="1">
      <alignment horizontal="center" vertical="center" wrapText="1"/>
    </xf>
    <xf numFmtId="0" fontId="2" fillId="0" borderId="25" xfId="5" applyFont="1" applyBorder="1" applyAlignment="1">
      <alignment horizontal="left"/>
    </xf>
    <xf numFmtId="0" fontId="2" fillId="0" borderId="17" xfId="5" applyFont="1" applyBorder="1" applyAlignment="1">
      <alignment horizontal="left"/>
    </xf>
    <xf numFmtId="0" fontId="2" fillId="0" borderId="18" xfId="5" applyFont="1" applyBorder="1" applyAlignment="1">
      <alignment horizontal="left"/>
    </xf>
    <xf numFmtId="0" fontId="4" fillId="11" borderId="26" xfId="0" applyFont="1" applyFill="1" applyBorder="1" applyAlignment="1">
      <alignment horizontal="left"/>
    </xf>
    <xf numFmtId="0" fontId="1" fillId="11" borderId="7" xfId="0" applyFont="1" applyFill="1" applyBorder="1" applyAlignment="1">
      <alignment horizontal="left"/>
    </xf>
    <xf numFmtId="0" fontId="1" fillId="11" borderId="22" xfId="0" applyFont="1" applyFill="1" applyBorder="1" applyAlignment="1">
      <alignment horizontal="left"/>
    </xf>
    <xf numFmtId="0" fontId="0" fillId="11" borderId="26" xfId="0" applyFill="1" applyBorder="1" applyAlignment="1">
      <alignment horizontal="left"/>
    </xf>
    <xf numFmtId="0" fontId="0" fillId="11" borderId="7" xfId="0" applyFill="1" applyBorder="1" applyAlignment="1">
      <alignment horizontal="left"/>
    </xf>
    <xf numFmtId="0" fontId="0" fillId="11" borderId="22" xfId="0" applyFill="1" applyBorder="1" applyAlignment="1">
      <alignment horizontal="left"/>
    </xf>
    <xf numFmtId="0" fontId="2" fillId="0" borderId="29" xfId="5" applyFont="1" applyBorder="1"/>
    <xf numFmtId="0" fontId="0" fillId="9" borderId="30" xfId="5" applyFont="1" applyFill="1" applyBorder="1"/>
    <xf numFmtId="0" fontId="0" fillId="7" borderId="30" xfId="5" applyFont="1" applyFill="1" applyBorder="1"/>
    <xf numFmtId="2" fontId="4" fillId="8" borderId="30" xfId="5" applyNumberFormat="1" applyFont="1" applyFill="1" applyBorder="1"/>
    <xf numFmtId="3" fontId="0" fillId="9" borderId="4" xfId="0" applyNumberFormat="1" applyFill="1" applyBorder="1" applyProtection="1">
      <protection locked="0" hidden="1"/>
    </xf>
    <xf numFmtId="166" fontId="0" fillId="0" borderId="0" xfId="0" applyNumberFormat="1"/>
    <xf numFmtId="2" fontId="4" fillId="0" borderId="0" xfId="4" applyNumberFormat="1" applyFont="1" applyAlignment="1">
      <alignment horizontal="center" vertical="center"/>
    </xf>
    <xf numFmtId="0" fontId="9" fillId="0" borderId="26" xfId="5" applyFont="1" applyBorder="1"/>
    <xf numFmtId="0" fontId="0" fillId="4" borderId="27" xfId="5" applyFont="1" applyFill="1" applyBorder="1"/>
    <xf numFmtId="164" fontId="9" fillId="0" borderId="4" xfId="5" applyNumberFormat="1" applyFont="1" applyBorder="1" applyAlignment="1">
      <alignment horizontal="center" vertical="center"/>
    </xf>
    <xf numFmtId="0" fontId="2" fillId="0" borderId="4" xfId="5" quotePrefix="1" applyFont="1" applyBorder="1" applyAlignment="1">
      <alignment horizontal="center" vertical="center"/>
    </xf>
    <xf numFmtId="0" fontId="2" fillId="0" borderId="4" xfId="5" applyFont="1" applyBorder="1" applyAlignment="1">
      <alignment horizontal="center" vertical="center"/>
    </xf>
    <xf numFmtId="0" fontId="33" fillId="0" borderId="0" xfId="0" applyFont="1"/>
    <xf numFmtId="0" fontId="34" fillId="0" borderId="0" xfId="0" applyFont="1"/>
    <xf numFmtId="0" fontId="29" fillId="0" borderId="35" xfId="5" applyFont="1" applyBorder="1" applyAlignment="1">
      <alignment horizontal="center"/>
    </xf>
    <xf numFmtId="0" fontId="29" fillId="0" borderId="39" xfId="5" applyFont="1" applyBorder="1" applyAlignment="1">
      <alignment horizontal="center"/>
    </xf>
    <xf numFmtId="0" fontId="29" fillId="0" borderId="41" xfId="5" applyFont="1" applyBorder="1" applyAlignment="1">
      <alignment horizontal="center"/>
    </xf>
    <xf numFmtId="0" fontId="2" fillId="0" borderId="42" xfId="5" applyFont="1" applyBorder="1" applyAlignment="1">
      <alignment horizontal="center" vertical="center"/>
    </xf>
    <xf numFmtId="0" fontId="9" fillId="0" borderId="43" xfId="5" applyFont="1" applyBorder="1"/>
    <xf numFmtId="0" fontId="9" fillId="0" borderId="44" xfId="5" applyFont="1" applyBorder="1"/>
    <xf numFmtId="0" fontId="4" fillId="3" borderId="8" xfId="0" applyFont="1" applyFill="1" applyBorder="1" applyAlignment="1">
      <alignment horizontal="left" vertical="center"/>
    </xf>
    <xf numFmtId="0" fontId="6" fillId="2" borderId="47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0" fontId="23" fillId="2" borderId="4" xfId="0" applyFont="1" applyFill="1" applyBorder="1" applyAlignment="1">
      <alignment horizontal="right" vertical="center" wrapText="1"/>
    </xf>
    <xf numFmtId="8" fontId="0" fillId="0" borderId="0" xfId="0" applyNumberFormat="1"/>
    <xf numFmtId="2" fontId="18" fillId="0" borderId="0" xfId="0" applyNumberFormat="1" applyFont="1"/>
    <xf numFmtId="0" fontId="4" fillId="0" borderId="0" xfId="0" applyFont="1" applyAlignment="1">
      <alignment horizontal="left" vertical="center"/>
    </xf>
    <xf numFmtId="3" fontId="4" fillId="9" borderId="4" xfId="0" applyNumberFormat="1" applyFont="1" applyFill="1" applyBorder="1"/>
    <xf numFmtId="3" fontId="4" fillId="0" borderId="4" xfId="0" applyNumberFormat="1" applyFont="1" applyBorder="1" applyAlignment="1">
      <alignment vertical="center" wrapText="1"/>
    </xf>
    <xf numFmtId="3" fontId="4" fillId="0" borderId="4" xfId="0" applyNumberFormat="1" applyFont="1" applyBorder="1"/>
    <xf numFmtId="3" fontId="4" fillId="9" borderId="46" xfId="0" applyNumberFormat="1" applyFont="1" applyFill="1" applyBorder="1"/>
    <xf numFmtId="3" fontId="0" fillId="9" borderId="4" xfId="5" applyNumberFormat="1" applyFont="1" applyFill="1" applyBorder="1" applyAlignment="1" applyProtection="1">
      <alignment horizontal="center"/>
      <protection locked="0" hidden="1"/>
    </xf>
    <xf numFmtId="49" fontId="4" fillId="0" borderId="4" xfId="0" applyNumberFormat="1" applyFont="1" applyBorder="1" applyAlignment="1">
      <alignment horizontal="right" vertical="center" wrapText="1"/>
    </xf>
    <xf numFmtId="167" fontId="4" fillId="0" borderId="4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166" fontId="4" fillId="0" borderId="4" xfId="4" applyNumberFormat="1" applyFont="1" applyBorder="1" applyAlignment="1">
      <alignment horizontal="center" vertical="center"/>
    </xf>
    <xf numFmtId="166" fontId="4" fillId="0" borderId="4" xfId="2" applyNumberFormat="1" applyFont="1" applyFill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49" fontId="4" fillId="0" borderId="11" xfId="0" applyNumberFormat="1" applyFont="1" applyBorder="1" applyAlignment="1">
      <alignment vertical="center" wrapText="1"/>
    </xf>
    <xf numFmtId="165" fontId="4" fillId="0" borderId="11" xfId="0" applyNumberFormat="1" applyFont="1" applyBorder="1"/>
    <xf numFmtId="0" fontId="4" fillId="0" borderId="11" xfId="0" applyFont="1" applyBorder="1" applyAlignment="1">
      <alignment vertical="center" wrapText="1"/>
    </xf>
    <xf numFmtId="165" fontId="4" fillId="0" borderId="11" xfId="0" applyNumberFormat="1" applyFont="1" applyBorder="1" applyAlignment="1">
      <alignment vertical="center" wrapText="1"/>
    </xf>
    <xf numFmtId="0" fontId="4" fillId="8" borderId="11" xfId="0" applyFont="1" applyFill="1" applyBorder="1"/>
    <xf numFmtId="165" fontId="4" fillId="8" borderId="4" xfId="5" applyNumberFormat="1" applyFont="1" applyFill="1" applyBorder="1" applyAlignment="1">
      <alignment horizontal="center"/>
    </xf>
    <xf numFmtId="2" fontId="4" fillId="8" borderId="11" xfId="0" applyNumberFormat="1" applyFont="1" applyFill="1" applyBorder="1"/>
    <xf numFmtId="2" fontId="4" fillId="0" borderId="11" xfId="0" applyNumberFormat="1" applyFont="1" applyBorder="1"/>
    <xf numFmtId="164" fontId="6" fillId="4" borderId="4" xfId="0" applyNumberFormat="1" applyFont="1" applyFill="1" applyBorder="1"/>
    <xf numFmtId="165" fontId="9" fillId="8" borderId="4" xfId="5" applyNumberFormat="1" applyFont="1" applyFill="1" applyBorder="1" applyAlignment="1">
      <alignment horizontal="center"/>
    </xf>
    <xf numFmtId="165" fontId="4" fillId="44" borderId="4" xfId="5" applyNumberFormat="1" applyFont="1" applyFill="1" applyBorder="1" applyAlignment="1">
      <alignment horizontal="center"/>
    </xf>
    <xf numFmtId="165" fontId="4" fillId="44" borderId="42" xfId="5" applyNumberFormat="1" applyFont="1" applyFill="1" applyBorder="1" applyAlignment="1">
      <alignment horizontal="center"/>
    </xf>
    <xf numFmtId="164" fontId="0" fillId="44" borderId="13" xfId="0" applyNumberFormat="1" applyFill="1" applyBorder="1"/>
    <xf numFmtId="2" fontId="4" fillId="44" borderId="4" xfId="0" applyNumberFormat="1" applyFont="1" applyFill="1" applyBorder="1"/>
    <xf numFmtId="3" fontId="4" fillId="44" borderId="4" xfId="0" applyNumberFormat="1" applyFont="1" applyFill="1" applyBorder="1" applyAlignment="1">
      <alignment vertical="center" wrapText="1"/>
    </xf>
    <xf numFmtId="3" fontId="4" fillId="44" borderId="4" xfId="0" applyNumberFormat="1" applyFont="1" applyFill="1" applyBorder="1"/>
    <xf numFmtId="2" fontId="4" fillId="44" borderId="31" xfId="5" applyNumberFormat="1" applyFont="1" applyFill="1" applyBorder="1"/>
    <xf numFmtId="2" fontId="4" fillId="44" borderId="0" xfId="0" applyNumberFormat="1" applyFont="1" applyFill="1"/>
    <xf numFmtId="0" fontId="4" fillId="44" borderId="11" xfId="0" applyFont="1" applyFill="1" applyBorder="1"/>
    <xf numFmtId="0" fontId="4" fillId="44" borderId="11" xfId="0" applyFont="1" applyFill="1" applyBorder="1" applyAlignment="1">
      <alignment vertical="center" wrapText="1"/>
    </xf>
    <xf numFmtId="2" fontId="4" fillId="44" borderId="11" xfId="0" applyNumberFormat="1" applyFont="1" applyFill="1" applyBorder="1" applyAlignment="1">
      <alignment vertical="center" wrapText="1"/>
    </xf>
    <xf numFmtId="0" fontId="4" fillId="45" borderId="11" xfId="0" applyFont="1" applyFill="1" applyBorder="1"/>
    <xf numFmtId="165" fontId="9" fillId="8" borderId="45" xfId="5" applyNumberFormat="1" applyFont="1" applyFill="1" applyBorder="1" applyAlignment="1">
      <alignment horizontal="center"/>
    </xf>
    <xf numFmtId="165" fontId="4" fillId="8" borderId="45" xfId="5" applyNumberFormat="1" applyFont="1" applyFill="1" applyBorder="1" applyAlignment="1">
      <alignment horizontal="center"/>
    </xf>
    <xf numFmtId="0" fontId="29" fillId="10" borderId="34" xfId="5" applyFont="1" applyFill="1" applyBorder="1" applyAlignment="1">
      <alignment horizontal="center" vertical="center"/>
    </xf>
    <xf numFmtId="0" fontId="29" fillId="10" borderId="32" xfId="5" applyFont="1" applyFill="1" applyBorder="1" applyAlignment="1">
      <alignment horizontal="center" vertical="center"/>
    </xf>
    <xf numFmtId="0" fontId="29" fillId="10" borderId="33" xfId="5" applyFont="1" applyFill="1" applyBorder="1" applyAlignment="1">
      <alignment horizontal="center" vertical="center"/>
    </xf>
    <xf numFmtId="0" fontId="0" fillId="11" borderId="27" xfId="0" applyFill="1" applyBorder="1" applyAlignment="1">
      <alignment horizontal="left"/>
    </xf>
    <xf numFmtId="0" fontId="0" fillId="11" borderId="28" xfId="0" applyFill="1" applyBorder="1" applyAlignment="1">
      <alignment horizontal="left"/>
    </xf>
    <xf numFmtId="0" fontId="0" fillId="11" borderId="24" xfId="0" applyFill="1" applyBorder="1" applyAlignment="1">
      <alignment horizontal="left"/>
    </xf>
    <xf numFmtId="0" fontId="29" fillId="0" borderId="36" xfId="5" applyFont="1" applyBorder="1" applyAlignment="1">
      <alignment horizontal="center"/>
    </xf>
    <xf numFmtId="0" fontId="29" fillId="0" borderId="37" xfId="5" applyFont="1" applyBorder="1" applyAlignment="1">
      <alignment horizontal="center"/>
    </xf>
    <xf numFmtId="0" fontId="29" fillId="0" borderId="38" xfId="5" applyFont="1" applyBorder="1" applyAlignment="1">
      <alignment horizontal="center"/>
    </xf>
    <xf numFmtId="0" fontId="2" fillId="0" borderId="8" xfId="5" applyFont="1" applyBorder="1" applyAlignment="1">
      <alignment horizontal="center"/>
    </xf>
    <xf numFmtId="0" fontId="2" fillId="0" borderId="9" xfId="5" applyFont="1" applyBorder="1" applyAlignment="1">
      <alignment horizontal="center"/>
    </xf>
    <xf numFmtId="0" fontId="2" fillId="0" borderId="40" xfId="5" applyFont="1" applyBorder="1" applyAlignment="1">
      <alignment horizontal="center"/>
    </xf>
    <xf numFmtId="0" fontId="29" fillId="0" borderId="23" xfId="5" applyFont="1" applyBorder="1" applyAlignment="1">
      <alignment horizontal="center"/>
    </xf>
    <xf numFmtId="0" fontId="29" fillId="0" borderId="17" xfId="5" applyFont="1" applyBorder="1" applyAlignment="1">
      <alignment horizontal="center"/>
    </xf>
    <xf numFmtId="0" fontId="29" fillId="0" borderId="18" xfId="5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horizontal="center" vertical="top" wrapText="1"/>
    </xf>
    <xf numFmtId="0" fontId="6" fillId="4" borderId="9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/>
    </xf>
    <xf numFmtId="0" fontId="6" fillId="3" borderId="11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65" fontId="4" fillId="44" borderId="15" xfId="5" applyNumberFormat="1" applyFont="1" applyFill="1" applyBorder="1" applyAlignment="1">
      <alignment horizontal="center"/>
    </xf>
    <xf numFmtId="165" fontId="4" fillId="44" borderId="57" xfId="5" applyNumberFormat="1" applyFont="1" applyFill="1" applyBorder="1" applyAlignment="1">
      <alignment horizontal="center"/>
    </xf>
  </cellXfs>
  <cellStyles count="52">
    <cellStyle name="_x000d__x000a_JournalTemplate=C:\COMFO\CTALK\JOURSTD.TPL_x000d__x000a_LbStateAddress=3 3 0 251 1 89 2 311_x000d__x000a_LbStateJou" xfId="51" xr:uid="{A52EC258-04AB-427A-876F-21C1FBA1DC88}"/>
    <cellStyle name="_kop1 Bladtitel" xfId="48" xr:uid="{D9734F4B-0144-442D-911A-7C46B1776F69}"/>
    <cellStyle name="_kop2 Bloktitel" xfId="3" xr:uid="{9102E37F-CA0A-488D-BF6C-EA9941A7ED8E}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erekening" xfId="16" builtinId="22" customBuiltin="1"/>
    <cellStyle name="Controlecel" xfId="18" builtinId="23" customBuiltin="1"/>
    <cellStyle name="Gekoppelde cel" xfId="17" builtinId="24" customBuiltin="1"/>
    <cellStyle name="Goed" xfId="11" builtinId="26" customBuiltin="1"/>
    <cellStyle name="Hyperlink" xfId="1" builtinId="8"/>
    <cellStyle name="Invoer" xfId="14" builtinId="20" customBuiltin="1"/>
    <cellStyle name="Komma" xfId="2" builtinId="3"/>
    <cellStyle name="Komma 2" xfId="47" xr:uid="{BEB6D150-1910-4EB9-A653-274F7F554227}"/>
    <cellStyle name="Komma 3" xfId="49" xr:uid="{CB84BD74-E086-4F1C-A3D6-CDD64E31653B}"/>
    <cellStyle name="Kop 1" xfId="7" builtinId="16" customBuiltin="1"/>
    <cellStyle name="Kop 2" xfId="8" builtinId="17" customBuiltin="1"/>
    <cellStyle name="Kop 3" xfId="9" builtinId="18" customBuiltin="1"/>
    <cellStyle name="Kop 4" xfId="10" builtinId="19" customBuiltin="1"/>
    <cellStyle name="Neutraal" xfId="13" builtinId="28" customBuiltin="1"/>
    <cellStyle name="Notitie" xfId="20" builtinId="10" customBuiltin="1"/>
    <cellStyle name="Ongeldig" xfId="12" builtinId="27" customBuiltin="1"/>
    <cellStyle name="Standaard" xfId="0" builtinId="0"/>
    <cellStyle name="Standaard 2" xfId="5" xr:uid="{B57ABFD4-CBDE-48A3-A3D0-9154A145E932}"/>
    <cellStyle name="Standaard ACM-DE" xfId="4" xr:uid="{D2DD9938-DBFC-44D5-A2A3-D4C986210889}"/>
    <cellStyle name="Titel" xfId="6" builtinId="15" customBuiltin="1"/>
    <cellStyle name="Totaal" xfId="22" builtinId="25" customBuiltin="1"/>
    <cellStyle name="Uitvoer" xfId="15" builtinId="21" customBuiltin="1"/>
    <cellStyle name="Valuta 2" xfId="50" xr:uid="{D208D193-B5CC-4D29-AA42-C00125523F76}"/>
    <cellStyle name="Verklarende tekst" xfId="21" builtinId="53" customBuiltin="1"/>
    <cellStyle name="Waarschuwingstekst" xfId="19" builtinId="11" customBuiltin="1"/>
  </cellStyles>
  <dxfs count="4"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theme="4" tint="0.79998168889431442"/>
        </patternFill>
      </fill>
    </dxf>
  </dxfs>
  <tableStyles count="1" defaultTableStyle="TableStyleMedium2" defaultPivotStyle="PivotStyleLight16">
    <tableStyle name="Tabelstijl 1" pivot="0" count="2" xr9:uid="{4E8E9A94-E235-4301-A4DC-44423878F49D}"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 sz="1200"/>
              <a:t>Capacity profile vs contracted products (excl fitfactor)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'Telemetry end users'!$C$55:$C$56</c:f>
              <c:strCache>
                <c:ptCount val="2"/>
                <c:pt idx="0">
                  <c:v>Year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'Telemetry end users'!$A$57:$A$68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'Telemetry end users'!$C$57:$C$68</c:f>
              <c:numCache>
                <c:formatCode>#,##0</c:formatCode>
                <c:ptCount val="12"/>
                <c:pt idx="0">
                  <c:v>12635406.630000001</c:v>
                </c:pt>
                <c:pt idx="1">
                  <c:v>12635406.630000001</c:v>
                </c:pt>
                <c:pt idx="2">
                  <c:v>12635406.630000001</c:v>
                </c:pt>
                <c:pt idx="3">
                  <c:v>12635406.630000001</c:v>
                </c:pt>
                <c:pt idx="4">
                  <c:v>12635406.630000001</c:v>
                </c:pt>
                <c:pt idx="5">
                  <c:v>12635406.630000001</c:v>
                </c:pt>
                <c:pt idx="6">
                  <c:v>12635406.630000001</c:v>
                </c:pt>
                <c:pt idx="7">
                  <c:v>12635406.630000001</c:v>
                </c:pt>
                <c:pt idx="8">
                  <c:v>12635406.630000001</c:v>
                </c:pt>
                <c:pt idx="9">
                  <c:v>12635406.630000001</c:v>
                </c:pt>
                <c:pt idx="10">
                  <c:v>12635406.630000001</c:v>
                </c:pt>
                <c:pt idx="11">
                  <c:v>12635406.630000001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B2-4AFF-8282-337D74397D41}"/>
            </c:ext>
          </c:extLst>
        </c:ser>
        <c:ser>
          <c:idx val="2"/>
          <c:order val="2"/>
          <c:tx>
            <c:strRef>
              <c:f>'Telemetry end users'!$D$55:$D$56</c:f>
              <c:strCache>
                <c:ptCount val="2"/>
                <c:pt idx="0">
                  <c:v>Quarter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'Telemetry end users'!$A$57:$A$68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'Telemetry end users'!$D$57:$D$68</c:f>
              <c:numCache>
                <c:formatCode>#,##0</c:formatCode>
                <c:ptCount val="12"/>
                <c:pt idx="0">
                  <c:v>3409554.17</c:v>
                </c:pt>
                <c:pt idx="1">
                  <c:v>3409554.17</c:v>
                </c:pt>
                <c:pt idx="2">
                  <c:v>3409554.17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1002810.0500000007</c:v>
                </c:pt>
                <c:pt idx="10">
                  <c:v>1002810.0500000007</c:v>
                </c:pt>
                <c:pt idx="11">
                  <c:v>1002810.0500000007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B2-4AFF-8282-337D74397D41}"/>
            </c:ext>
          </c:extLst>
        </c:ser>
        <c:ser>
          <c:idx val="3"/>
          <c:order val="3"/>
          <c:tx>
            <c:strRef>
              <c:f>'Telemetry end users'!$E$55:$E$56</c:f>
              <c:strCache>
                <c:ptCount val="2"/>
                <c:pt idx="0">
                  <c:v>Month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'Telemetry end users'!$A$57:$A$68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'Telemetry end users'!$E$57:$E$68</c:f>
              <c:numCache>
                <c:formatCode>#,##0</c:formatCode>
                <c:ptCount val="12"/>
                <c:pt idx="0">
                  <c:v>4011240.1999999993</c:v>
                </c:pt>
                <c:pt idx="1">
                  <c:v>4011240.1999999993</c:v>
                </c:pt>
                <c:pt idx="2">
                  <c:v>0</c:v>
                </c:pt>
                <c:pt idx="3">
                  <c:v>1403934.0699999984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2406744.1199999992</c:v>
                </c:pt>
                <c:pt idx="11">
                  <c:v>6417984.3199999984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B2-4AFF-8282-337D74397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070196968"/>
        <c:axId val="1070199264"/>
      </c:barChart>
      <c:lineChart>
        <c:grouping val="standard"/>
        <c:varyColors val="0"/>
        <c:ser>
          <c:idx val="0"/>
          <c:order val="0"/>
          <c:tx>
            <c:strRef>
              <c:f>'Telemetry end users'!$B$55:$B$56</c:f>
              <c:strCache>
                <c:ptCount val="2"/>
                <c:pt idx="0">
                  <c:v>Capacity profile</c:v>
                </c:pt>
                <c:pt idx="1">
                  <c:v>kWh/h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'Telemetry end users'!$A$57:$A$68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'Telemetry end users'!$B$57:$B$68</c:f>
              <c:numCache>
                <c:formatCode>#,##0</c:formatCode>
                <c:ptCount val="12"/>
                <c:pt idx="0">
                  <c:v>20056201</c:v>
                </c:pt>
                <c:pt idx="1">
                  <c:v>20056201</c:v>
                </c:pt>
                <c:pt idx="2">
                  <c:v>16044960.800000001</c:v>
                </c:pt>
                <c:pt idx="3">
                  <c:v>14039340.699999999</c:v>
                </c:pt>
                <c:pt idx="4">
                  <c:v>12635406.630000001</c:v>
                </c:pt>
                <c:pt idx="5">
                  <c:v>11030910.550000001</c:v>
                </c:pt>
                <c:pt idx="6">
                  <c:v>10028100.5</c:v>
                </c:pt>
                <c:pt idx="7">
                  <c:v>10028100.5</c:v>
                </c:pt>
                <c:pt idx="8">
                  <c:v>11432034.569999998</c:v>
                </c:pt>
                <c:pt idx="9">
                  <c:v>13638216.680000002</c:v>
                </c:pt>
                <c:pt idx="10">
                  <c:v>16044960.800000001</c:v>
                </c:pt>
                <c:pt idx="11">
                  <c:v>20056201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2-4AFF-8282-337D74397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196968"/>
        <c:axId val="1070199264"/>
      </c:lineChart>
      <c:catAx>
        <c:axId val="1070196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70199264"/>
        <c:crosses val="autoZero"/>
        <c:auto val="1"/>
        <c:lblAlgn val="ctr"/>
        <c:lblOffset val="100"/>
        <c:noMultiLvlLbl val="0"/>
      </c:catAx>
      <c:valAx>
        <c:axId val="1070199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70196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Capacity profile vs contracted products (excl</a:t>
            </a:r>
            <a:r>
              <a:rPr lang="en-US" sz="1200" baseline="0"/>
              <a:t> fitfactor)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'Profile end users'!$C$59:$C$60</c:f>
              <c:strCache>
                <c:ptCount val="2"/>
                <c:pt idx="0">
                  <c:v>Year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'Profile end users'!$A$61:$A$72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'Profile end users'!$C$61:$C$72</c:f>
              <c:numCache>
                <c:formatCode>#,##0</c:formatCode>
                <c:ptCount val="12"/>
                <c:pt idx="0">
                  <c:v>22624418.647371821</c:v>
                </c:pt>
                <c:pt idx="1">
                  <c:v>22624418.647371821</c:v>
                </c:pt>
                <c:pt idx="2">
                  <c:v>22624418.647371821</c:v>
                </c:pt>
                <c:pt idx="3">
                  <c:v>22624418.647371821</c:v>
                </c:pt>
                <c:pt idx="4">
                  <c:v>22624418.647371821</c:v>
                </c:pt>
                <c:pt idx="5">
                  <c:v>22624418.647371821</c:v>
                </c:pt>
                <c:pt idx="6">
                  <c:v>22624418.647371821</c:v>
                </c:pt>
                <c:pt idx="7">
                  <c:v>22624418.647371821</c:v>
                </c:pt>
                <c:pt idx="8">
                  <c:v>22624418.647371821</c:v>
                </c:pt>
                <c:pt idx="9">
                  <c:v>22624418.647371821</c:v>
                </c:pt>
                <c:pt idx="10">
                  <c:v>22624418.647371821</c:v>
                </c:pt>
                <c:pt idx="11">
                  <c:v>22624418.647371821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7F-447A-9BA8-D8ABEE97CF15}"/>
            </c:ext>
          </c:extLst>
        </c:ser>
        <c:ser>
          <c:idx val="2"/>
          <c:order val="2"/>
          <c:tx>
            <c:strRef>
              <c:f>'Profile end users'!$D$59:$D$60</c:f>
              <c:strCache>
                <c:ptCount val="2"/>
                <c:pt idx="0">
                  <c:v>Quarter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'Profile end users'!$A$61:$A$72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'Profile end users'!$D$61:$D$72</c:f>
              <c:numCache>
                <c:formatCode>#,##0</c:formatCode>
                <c:ptCount val="12"/>
                <c:pt idx="0">
                  <c:v>20954250.226680472</c:v>
                </c:pt>
                <c:pt idx="1">
                  <c:v>20954250.226680472</c:v>
                </c:pt>
                <c:pt idx="2">
                  <c:v>20954250.226680472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6861659.6652035937</c:v>
                </c:pt>
                <c:pt idx="10">
                  <c:v>6861659.6652035937</c:v>
                </c:pt>
                <c:pt idx="11">
                  <c:v>6861659.6652035937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7F-447A-9BA8-D8ABEE97CF15}"/>
            </c:ext>
          </c:extLst>
        </c:ser>
        <c:ser>
          <c:idx val="3"/>
          <c:order val="3"/>
          <c:tx>
            <c:strRef>
              <c:f>'Profile end users'!$E$59:$E$60</c:f>
              <c:strCache>
                <c:ptCount val="2"/>
                <c:pt idx="0">
                  <c:v>Month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'Profile end users'!$A$61:$A$72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'Profile end users'!$E$61:$E$72</c:f>
              <c:numCache>
                <c:formatCode>#,##0</c:formatCode>
                <c:ptCount val="12"/>
                <c:pt idx="0">
                  <c:v>8838615.6096939594</c:v>
                </c:pt>
                <c:pt idx="1">
                  <c:v>8838615.6096939594</c:v>
                </c:pt>
                <c:pt idx="2">
                  <c:v>0</c:v>
                </c:pt>
                <c:pt idx="3">
                  <c:v>9210424.7587830722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14092590.561476879</c:v>
                </c:pt>
                <c:pt idx="11">
                  <c:v>22931206.171170838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7F-447A-9BA8-D8ABEE97C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914712920"/>
        <c:axId val="914711608"/>
      </c:barChart>
      <c:lineChart>
        <c:grouping val="standard"/>
        <c:varyColors val="0"/>
        <c:ser>
          <c:idx val="0"/>
          <c:order val="0"/>
          <c:tx>
            <c:strRef>
              <c:f>'Profile end users'!$B$59:$B$60</c:f>
              <c:strCache>
                <c:ptCount val="2"/>
                <c:pt idx="0">
                  <c:v>Capacity Profile</c:v>
                </c:pt>
                <c:pt idx="1">
                  <c:v>kWh/h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'Profile end users'!$A$61:$A$72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'Profile end users'!$B$61:$B$72</c:f>
              <c:numCache>
                <c:formatCode>#,##0</c:formatCode>
                <c:ptCount val="12"/>
                <c:pt idx="0">
                  <c:v>52417284.483746253</c:v>
                </c:pt>
                <c:pt idx="1">
                  <c:v>52417284.483746253</c:v>
                </c:pt>
                <c:pt idx="2">
                  <c:v>43578668.874052294</c:v>
                </c:pt>
                <c:pt idx="3">
                  <c:v>31834843.406154893</c:v>
                </c:pt>
                <c:pt idx="4">
                  <c:v>22624418.647371821</c:v>
                </c:pt>
                <c:pt idx="5">
                  <c:v>14181886.56507594</c:v>
                </c:pt>
                <c:pt idx="6">
                  <c:v>7982672.2954603508</c:v>
                </c:pt>
                <c:pt idx="7">
                  <c:v>7982672.2954603508</c:v>
                </c:pt>
                <c:pt idx="8">
                  <c:v>16254335.444356726</c:v>
                </c:pt>
                <c:pt idx="9">
                  <c:v>29486078.312575415</c:v>
                </c:pt>
                <c:pt idx="10">
                  <c:v>43578668.874052294</c:v>
                </c:pt>
                <c:pt idx="11">
                  <c:v>52417284.483746253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F-447A-9BA8-D8ABEE97C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712920"/>
        <c:axId val="914711608"/>
      </c:lineChart>
      <c:catAx>
        <c:axId val="914712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14711608"/>
        <c:crosses val="autoZero"/>
        <c:auto val="1"/>
        <c:lblAlgn val="ctr"/>
        <c:lblOffset val="100"/>
        <c:noMultiLvlLbl val="0"/>
      </c:catAx>
      <c:valAx>
        <c:axId val="914711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14712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190501</xdr:colOff>
      <xdr:row>53</xdr:row>
      <xdr:rowOff>0</xdr:rowOff>
    </xdr:from>
    <xdr:to>
      <xdr:col>12</xdr:col>
      <xdr:colOff>228600</xdr:colOff>
      <xdr:row>69</xdr:row>
      <xdr:rowOff>85724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CA7D4FCC-39C9-429A-BBBB-B9C76D2FAE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457200</xdr:colOff>
      <xdr:row>57</xdr:row>
      <xdr:rowOff>95250</xdr:rowOff>
    </xdr:from>
    <xdr:to>
      <xdr:col>12</xdr:col>
      <xdr:colOff>228600</xdr:colOff>
      <xdr:row>72</xdr:row>
      <xdr:rowOff>14287</xdr:rowOff>
    </xdr:to>
    <xdr:graphicFrame macro="">
      <xdr:nvGraphicFramePr>
        <xdr:cNvPr id="6" name="Grafiek 5">
          <a:extLst>
            <a:ext uri="{FF2B5EF4-FFF2-40B4-BE49-F238E27FC236}">
              <a16:creationId xmlns:a16="http://schemas.microsoft.com/office/drawing/2014/main" id="{4EC8ADB1-6A7C-4A31-B5D5-97A9F2E0B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gasunietransportservices.nl/en/shippers/capacity-booking/fcfs-network-points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mffbas.nl/documenten/" TargetMode="External"/><Relationship Id="rId1" Type="http://schemas.openxmlformats.org/officeDocument/2006/relationships/hyperlink" Target="https://www.gasunietransportservices.nl/en/shippers/capacity-booking/fcfs-network-points" TargetMode="External"/><Relationship Id="rId4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D9DD3-BB0B-48D5-A169-CC3C4CC9958E}">
  <dimension ref="B1:P37"/>
  <sheetViews>
    <sheetView tabSelected="1" topLeftCell="A3" workbookViewId="0">
      <selection activeCell="F24" sqref="F24"/>
    </sheetView>
  </sheetViews>
  <sheetFormatPr defaultRowHeight="15" x14ac:dyDescent="0.25"/>
  <cols>
    <col min="1" max="1" width="8" customWidth="1"/>
    <col min="2" max="2" width="18.140625" customWidth="1"/>
    <col min="3" max="3" width="16.85546875" customWidth="1"/>
    <col min="4" max="4" width="16.140625" customWidth="1"/>
    <col min="5" max="5" width="15.42578125" bestFit="1" customWidth="1"/>
    <col min="6" max="6" width="13.85546875" customWidth="1"/>
    <col min="7" max="7" width="7.5703125" customWidth="1"/>
    <col min="8" max="8" width="19.42578125" customWidth="1"/>
    <col min="9" max="9" width="19.140625" customWidth="1"/>
    <col min="10" max="10" width="16" bestFit="1" customWidth="1"/>
    <col min="11" max="11" width="16.42578125" bestFit="1" customWidth="1"/>
    <col min="12" max="12" width="16" bestFit="1" customWidth="1"/>
    <col min="13" max="13" width="5" customWidth="1"/>
    <col min="14" max="14" width="57.85546875" customWidth="1"/>
    <col min="15" max="15" width="16" customWidth="1"/>
    <col min="16" max="16" width="14" bestFit="1" customWidth="1"/>
    <col min="17" max="17" width="13.85546875" bestFit="1" customWidth="1"/>
    <col min="22" max="22" width="14" bestFit="1" customWidth="1"/>
  </cols>
  <sheetData>
    <row r="1" spans="2:16" x14ac:dyDescent="0.25">
      <c r="K1" s="56"/>
    </row>
    <row r="2" spans="2:16" ht="21" x14ac:dyDescent="0.35">
      <c r="B2" s="77" t="s">
        <v>0</v>
      </c>
      <c r="C2" s="77"/>
      <c r="E2" s="77"/>
      <c r="F2" s="77"/>
      <c r="P2" s="116" t="s">
        <v>1</v>
      </c>
    </row>
    <row r="3" spans="2:16" ht="21" x14ac:dyDescent="0.35">
      <c r="B3" s="79" t="s">
        <v>2</v>
      </c>
      <c r="C3" s="79"/>
      <c r="E3" s="79"/>
      <c r="F3" s="79"/>
      <c r="G3" s="79"/>
      <c r="H3" s="79"/>
      <c r="I3" s="79"/>
      <c r="J3" s="79"/>
      <c r="K3" s="77"/>
      <c r="L3" s="78"/>
      <c r="M3" s="78"/>
      <c r="N3" s="78"/>
      <c r="O3" s="78"/>
      <c r="P3" s="116" t="s">
        <v>3</v>
      </c>
    </row>
    <row r="4" spans="2:16" x14ac:dyDescent="0.25">
      <c r="B4" s="80"/>
      <c r="C4" s="80"/>
      <c r="G4" s="79"/>
      <c r="H4" s="79"/>
      <c r="I4" s="79"/>
      <c r="J4" s="79"/>
      <c r="K4" s="80"/>
      <c r="L4" s="80"/>
      <c r="M4" s="80"/>
      <c r="N4" s="80"/>
      <c r="O4" s="80"/>
    </row>
    <row r="5" spans="2:16" ht="15.75" x14ac:dyDescent="0.25">
      <c r="B5" s="165" t="s">
        <v>1</v>
      </c>
      <c r="C5" s="177" t="s">
        <v>4</v>
      </c>
      <c r="D5" s="178"/>
      <c r="E5" s="178"/>
      <c r="F5" s="179"/>
      <c r="G5" s="81"/>
      <c r="H5" s="117"/>
      <c r="I5" s="171" t="s">
        <v>5</v>
      </c>
      <c r="J5" s="172"/>
      <c r="K5" s="172"/>
      <c r="L5" s="173"/>
    </row>
    <row r="6" spans="2:16" ht="15" customHeight="1" x14ac:dyDescent="0.25">
      <c r="B6" s="166"/>
      <c r="C6" s="90" t="s">
        <v>6</v>
      </c>
      <c r="D6" s="90" t="s">
        <v>7</v>
      </c>
      <c r="E6" s="90" t="s">
        <v>8</v>
      </c>
      <c r="F6" s="91" t="s">
        <v>9</v>
      </c>
      <c r="H6" s="118"/>
      <c r="I6" s="174" t="s">
        <v>10</v>
      </c>
      <c r="J6" s="175"/>
      <c r="K6" s="174" t="s">
        <v>11</v>
      </c>
      <c r="L6" s="176"/>
    </row>
    <row r="7" spans="2:16" ht="15.75" x14ac:dyDescent="0.25">
      <c r="B7" s="167"/>
      <c r="C7" s="112" t="str">
        <f>IF($B$5="m3/h (n:35,17)","m3/h (n:35,17)","kWh/h")</f>
        <v>kWh/h</v>
      </c>
      <c r="D7" s="112" t="str">
        <f>IF($B$5="m3/h (n:35,17)","m3/h (n:35,17)","kWh/h")</f>
        <v>kWh/h</v>
      </c>
      <c r="E7" s="92" t="s">
        <v>12</v>
      </c>
      <c r="F7" s="93" t="s">
        <v>12</v>
      </c>
      <c r="H7" s="119"/>
      <c r="I7" s="113" t="s">
        <v>13</v>
      </c>
      <c r="J7" s="114" t="s">
        <v>14</v>
      </c>
      <c r="K7" s="113" t="s">
        <v>13</v>
      </c>
      <c r="L7" s="120" t="s">
        <v>14</v>
      </c>
      <c r="N7" s="103" t="s">
        <v>15</v>
      </c>
    </row>
    <row r="8" spans="2:16" x14ac:dyDescent="0.25">
      <c r="B8" s="110" t="s">
        <v>16</v>
      </c>
      <c r="C8" s="134">
        <v>0</v>
      </c>
      <c r="D8" s="134">
        <v>0</v>
      </c>
      <c r="E8" s="88">
        <f t="shared" ref="E8:E19" si="0" xml:space="preserve"> IF($B$5="m3/h (n:35,17)", C8*J8,C8*I8)</f>
        <v>0</v>
      </c>
      <c r="F8" s="88">
        <f xml:space="preserve"> IF($B$5="m3/h (n:35,17)",D8*L8,D8*K8)</f>
        <v>0</v>
      </c>
      <c r="G8" s="80"/>
      <c r="H8" s="121" t="s">
        <v>16</v>
      </c>
      <c r="I8" s="146">
        <v>0.26046382117122135</v>
      </c>
      <c r="J8" s="146">
        <f t="shared" ref="J8:J19" si="1">I8*35.17/3.6</f>
        <v>2.5445868307199597</v>
      </c>
      <c r="K8" s="151">
        <v>0.25769292945663397</v>
      </c>
      <c r="L8" s="152">
        <f>K8*35.17/3.6</f>
        <v>2.5175167580527269</v>
      </c>
      <c r="N8" s="104" t="s">
        <v>17</v>
      </c>
    </row>
    <row r="9" spans="2:16" x14ac:dyDescent="0.25">
      <c r="B9" s="110" t="s">
        <v>18</v>
      </c>
      <c r="C9" s="134">
        <f t="shared" ref="C9:C12" si="2">C8</f>
        <v>0</v>
      </c>
      <c r="D9" s="134">
        <f>D8</f>
        <v>0</v>
      </c>
      <c r="E9" s="88">
        <f t="shared" si="0"/>
        <v>0</v>
      </c>
      <c r="F9" s="88">
        <f t="shared" ref="F9:F19" si="3" xml:space="preserve"> IF($B$5="m3/h (n:35,17)",D9*L9,D9*K9)</f>
        <v>0</v>
      </c>
      <c r="G9" s="80"/>
      <c r="H9" s="121" t="s">
        <v>18</v>
      </c>
      <c r="I9" s="146">
        <v>0.22776901386687984</v>
      </c>
      <c r="J9" s="146">
        <f t="shared" si="1"/>
        <v>2.2251767271383791</v>
      </c>
      <c r="K9" s="151">
        <v>0.22776901386687984</v>
      </c>
      <c r="L9" s="152">
        <f t="shared" ref="L9:L19" si="4">K9*35.17/3.6</f>
        <v>2.2251767271383791</v>
      </c>
      <c r="N9" s="105" t="s">
        <v>19</v>
      </c>
    </row>
    <row r="10" spans="2:16" x14ac:dyDescent="0.25">
      <c r="B10" s="110" t="s">
        <v>20</v>
      </c>
      <c r="C10" s="134">
        <f t="shared" si="2"/>
        <v>0</v>
      </c>
      <c r="D10" s="134">
        <f t="shared" ref="D10:D19" si="5">D9</f>
        <v>0</v>
      </c>
      <c r="E10" s="88">
        <f t="shared" si="0"/>
        <v>0</v>
      </c>
      <c r="F10" s="88">
        <f t="shared" si="3"/>
        <v>0</v>
      </c>
      <c r="G10" s="80"/>
      <c r="H10" s="121" t="s">
        <v>20</v>
      </c>
      <c r="I10" s="146">
        <v>0.16364179054204653</v>
      </c>
      <c r="J10" s="146">
        <f t="shared" si="1"/>
        <v>1.5986893814899379</v>
      </c>
      <c r="K10" s="151">
        <v>0.16364179054204653</v>
      </c>
      <c r="L10" s="152">
        <f>K10*35.17/3.6</f>
        <v>1.5986893814899379</v>
      </c>
      <c r="N10" s="106" t="s">
        <v>21</v>
      </c>
    </row>
    <row r="11" spans="2:16" ht="15.75" thickBot="1" x14ac:dyDescent="0.3">
      <c r="B11" s="110" t="s">
        <v>22</v>
      </c>
      <c r="C11" s="134">
        <f t="shared" si="2"/>
        <v>0</v>
      </c>
      <c r="D11" s="134">
        <f t="shared" si="5"/>
        <v>0</v>
      </c>
      <c r="E11" s="88">
        <f t="shared" si="0"/>
        <v>0</v>
      </c>
      <c r="F11" s="88">
        <f t="shared" si="3"/>
        <v>0</v>
      </c>
      <c r="G11" s="80"/>
      <c r="H11" s="121" t="s">
        <v>22</v>
      </c>
      <c r="I11" s="146">
        <v>0.11880288798045904</v>
      </c>
      <c r="J11" s="146">
        <f t="shared" si="1"/>
        <v>1.1606382139646514</v>
      </c>
      <c r="K11" s="151">
        <v>0.11880288798045904</v>
      </c>
      <c r="L11" s="152">
        <f t="shared" si="4"/>
        <v>1.1606382139646514</v>
      </c>
      <c r="N11" s="157" t="s">
        <v>23</v>
      </c>
    </row>
    <row r="12" spans="2:16" x14ac:dyDescent="0.25">
      <c r="B12" s="110" t="s">
        <v>24</v>
      </c>
      <c r="C12" s="134">
        <f t="shared" si="2"/>
        <v>0</v>
      </c>
      <c r="D12" s="134">
        <f t="shared" si="5"/>
        <v>0</v>
      </c>
      <c r="E12" s="88">
        <f t="shared" si="0"/>
        <v>0</v>
      </c>
      <c r="F12" s="88">
        <f t="shared" si="3"/>
        <v>0</v>
      </c>
      <c r="G12" s="80"/>
      <c r="H12" s="121" t="s">
        <v>24</v>
      </c>
      <c r="I12" s="150">
        <v>0.107388526839541</v>
      </c>
      <c r="J12" s="146">
        <f t="shared" si="1"/>
        <v>1.049126246929627</v>
      </c>
      <c r="K12" s="151">
        <v>0.107388526839541</v>
      </c>
      <c r="L12" s="152">
        <f t="shared" si="4"/>
        <v>1.049126246929627</v>
      </c>
    </row>
    <row r="13" spans="2:16" ht="15.75" thickBot="1" x14ac:dyDescent="0.3">
      <c r="B13" s="110" t="s">
        <v>25</v>
      </c>
      <c r="C13" s="134">
        <f>C12</f>
        <v>0</v>
      </c>
      <c r="D13" s="134">
        <f t="shared" si="5"/>
        <v>0</v>
      </c>
      <c r="E13" s="88">
        <f t="shared" si="0"/>
        <v>0</v>
      </c>
      <c r="F13" s="88">
        <f t="shared" si="3"/>
        <v>0</v>
      </c>
      <c r="G13" s="80"/>
      <c r="H13" s="121" t="s">
        <v>25</v>
      </c>
      <c r="I13" s="150">
        <v>0.10392438081245906</v>
      </c>
      <c r="J13" s="146">
        <f t="shared" si="1"/>
        <v>1.015283464770607</v>
      </c>
      <c r="K13" s="151">
        <v>0.10392438081245906</v>
      </c>
      <c r="L13" s="152">
        <f t="shared" si="4"/>
        <v>1.015283464770607</v>
      </c>
    </row>
    <row r="14" spans="2:16" x14ac:dyDescent="0.25">
      <c r="B14" s="110" t="s">
        <v>26</v>
      </c>
      <c r="C14" s="134">
        <f t="shared" ref="C14:C19" si="6">C13</f>
        <v>0</v>
      </c>
      <c r="D14" s="134">
        <f t="shared" si="5"/>
        <v>0</v>
      </c>
      <c r="E14" s="88">
        <f t="shared" si="0"/>
        <v>0</v>
      </c>
      <c r="F14" s="88">
        <f t="shared" si="3"/>
        <v>0</v>
      </c>
      <c r="G14" s="80"/>
      <c r="H14" s="121" t="s">
        <v>26</v>
      </c>
      <c r="I14" s="150">
        <v>0.107388526839541</v>
      </c>
      <c r="J14" s="146">
        <f t="shared" si="1"/>
        <v>1.049126246929627</v>
      </c>
      <c r="K14" s="151">
        <f t="shared" ref="K14:K17" si="7">I14</f>
        <v>0.107388526839541</v>
      </c>
      <c r="L14" s="152">
        <f t="shared" si="4"/>
        <v>1.049126246929627</v>
      </c>
      <c r="N14" s="94" t="s">
        <v>27</v>
      </c>
      <c r="O14" s="95"/>
      <c r="P14" s="96"/>
    </row>
    <row r="15" spans="2:16" x14ac:dyDescent="0.25">
      <c r="B15" s="110" t="s">
        <v>28</v>
      </c>
      <c r="C15" s="134">
        <f t="shared" si="6"/>
        <v>0</v>
      </c>
      <c r="D15" s="134">
        <f t="shared" si="5"/>
        <v>0</v>
      </c>
      <c r="E15" s="88">
        <f t="shared" si="0"/>
        <v>0</v>
      </c>
      <c r="F15" s="88">
        <f t="shared" si="3"/>
        <v>0</v>
      </c>
      <c r="G15" s="80"/>
      <c r="H15" s="121" t="s">
        <v>28</v>
      </c>
      <c r="I15" s="150">
        <v>0.107388526839541</v>
      </c>
      <c r="J15" s="146">
        <f t="shared" si="1"/>
        <v>1.049126246929627</v>
      </c>
      <c r="K15" s="151">
        <f t="shared" si="7"/>
        <v>0.107388526839541</v>
      </c>
      <c r="L15" s="152">
        <f t="shared" si="4"/>
        <v>1.049126246929627</v>
      </c>
      <c r="N15" s="97" t="s">
        <v>29</v>
      </c>
      <c r="O15" s="98"/>
      <c r="P15" s="99"/>
    </row>
    <row r="16" spans="2:16" x14ac:dyDescent="0.25">
      <c r="B16" s="110" t="s">
        <v>30</v>
      </c>
      <c r="C16" s="134">
        <f t="shared" si="6"/>
        <v>0</v>
      </c>
      <c r="D16" s="134">
        <f t="shared" si="5"/>
        <v>0</v>
      </c>
      <c r="E16" s="88">
        <f t="shared" si="0"/>
        <v>0</v>
      </c>
      <c r="F16" s="88">
        <f t="shared" si="3"/>
        <v>0</v>
      </c>
      <c r="G16" s="80"/>
      <c r="H16" s="121" t="s">
        <v>30</v>
      </c>
      <c r="I16" s="150">
        <v>0.10392438081245906</v>
      </c>
      <c r="J16" s="146">
        <f t="shared" si="1"/>
        <v>1.015283464770607</v>
      </c>
      <c r="K16" s="151">
        <f t="shared" si="7"/>
        <v>0.10392438081245906</v>
      </c>
      <c r="L16" s="152">
        <f t="shared" si="4"/>
        <v>1.015283464770607</v>
      </c>
      <c r="N16" s="100" t="s">
        <v>31</v>
      </c>
      <c r="O16" s="101"/>
      <c r="P16" s="102"/>
    </row>
    <row r="17" spans="2:16" ht="15.75" thickBot="1" x14ac:dyDescent="0.3">
      <c r="B17" s="110" t="s">
        <v>32</v>
      </c>
      <c r="C17" s="134">
        <f t="shared" si="6"/>
        <v>0</v>
      </c>
      <c r="D17" s="134">
        <f t="shared" si="5"/>
        <v>0</v>
      </c>
      <c r="E17" s="88">
        <f t="shared" si="0"/>
        <v>0</v>
      </c>
      <c r="F17" s="88">
        <f t="shared" si="3"/>
        <v>0</v>
      </c>
      <c r="G17" s="80"/>
      <c r="H17" s="121" t="s">
        <v>32</v>
      </c>
      <c r="I17" s="150">
        <v>0.11999176361454102</v>
      </c>
      <c r="J17" s="146">
        <f t="shared" si="1"/>
        <v>1.1722528684231688</v>
      </c>
      <c r="K17" s="151">
        <f t="shared" si="7"/>
        <v>0.11999176361454102</v>
      </c>
      <c r="L17" s="152">
        <f t="shared" si="4"/>
        <v>1.1722528684231688</v>
      </c>
      <c r="N17" s="168" t="s">
        <v>33</v>
      </c>
      <c r="O17" s="169"/>
      <c r="P17" s="170"/>
    </row>
    <row r="18" spans="2:16" ht="15" customHeight="1" x14ac:dyDescent="0.25">
      <c r="B18" s="110" t="s">
        <v>34</v>
      </c>
      <c r="C18" s="134">
        <f t="shared" si="6"/>
        <v>0</v>
      </c>
      <c r="D18" s="134">
        <f t="shared" si="5"/>
        <v>0</v>
      </c>
      <c r="E18" s="88">
        <f t="shared" si="0"/>
        <v>0</v>
      </c>
      <c r="F18" s="88">
        <f t="shared" si="3"/>
        <v>0</v>
      </c>
      <c r="G18" s="80"/>
      <c r="H18" s="121" t="s">
        <v>34</v>
      </c>
      <c r="I18" s="150">
        <v>0.15196012634645906</v>
      </c>
      <c r="J18" s="146">
        <f t="shared" si="1"/>
        <v>1.4845660121124902</v>
      </c>
      <c r="K18" s="151">
        <v>0.15196012634645906</v>
      </c>
      <c r="L18" s="152">
        <f t="shared" si="4"/>
        <v>1.4845660121124902</v>
      </c>
    </row>
    <row r="19" spans="2:16" ht="15" customHeight="1" thickBot="1" x14ac:dyDescent="0.3">
      <c r="B19" s="110" t="s">
        <v>35</v>
      </c>
      <c r="C19" s="134">
        <f t="shared" si="6"/>
        <v>0</v>
      </c>
      <c r="D19" s="134">
        <f t="shared" si="5"/>
        <v>0</v>
      </c>
      <c r="E19" s="88">
        <f t="shared" si="0"/>
        <v>0</v>
      </c>
      <c r="F19" s="88">
        <f t="shared" si="3"/>
        <v>0</v>
      </c>
      <c r="G19" s="80"/>
      <c r="H19" s="122" t="s">
        <v>35</v>
      </c>
      <c r="I19" s="163">
        <v>0.250494390686541</v>
      </c>
      <c r="J19" s="164">
        <f t="shared" si="1"/>
        <v>2.4471910334571243</v>
      </c>
      <c r="K19" s="193">
        <v>0.250494390686541</v>
      </c>
      <c r="L19" s="194">
        <f t="shared" si="4"/>
        <v>2.4471910334571243</v>
      </c>
    </row>
    <row r="20" spans="2:16" ht="15.75" thickBot="1" x14ac:dyDescent="0.3">
      <c r="B20" s="111"/>
      <c r="C20" s="83"/>
      <c r="D20" s="83" t="s">
        <v>36</v>
      </c>
      <c r="E20" s="89">
        <f>SUM(E8:E19)</f>
        <v>0</v>
      </c>
      <c r="F20" s="87">
        <f>SUM(F8:F19)</f>
        <v>0</v>
      </c>
      <c r="G20" s="79"/>
      <c r="I20" s="30"/>
    </row>
    <row r="21" spans="2:16" x14ac:dyDescent="0.25">
      <c r="C21" s="79"/>
      <c r="E21" s="56"/>
      <c r="F21" s="56"/>
      <c r="G21" s="79"/>
      <c r="H21" s="79"/>
      <c r="I21" s="79"/>
    </row>
    <row r="22" spans="2:16" x14ac:dyDescent="0.25">
      <c r="B22" s="2" t="s">
        <v>37</v>
      </c>
      <c r="C22" s="2"/>
    </row>
    <row r="23" spans="2:16" x14ac:dyDescent="0.25">
      <c r="C23" s="2"/>
    </row>
    <row r="24" spans="2:16" x14ac:dyDescent="0.25">
      <c r="J24" s="30"/>
    </row>
    <row r="25" spans="2:16" x14ac:dyDescent="0.25">
      <c r="J25" s="30"/>
      <c r="L25" s="30"/>
    </row>
    <row r="26" spans="2:16" x14ac:dyDescent="0.25">
      <c r="J26" s="30"/>
      <c r="L26" s="30"/>
    </row>
    <row r="27" spans="2:16" x14ac:dyDescent="0.25">
      <c r="J27" s="30"/>
      <c r="L27" s="30"/>
    </row>
    <row r="28" spans="2:16" x14ac:dyDescent="0.25">
      <c r="J28" s="30"/>
      <c r="L28" s="30"/>
    </row>
    <row r="29" spans="2:16" x14ac:dyDescent="0.25">
      <c r="J29" s="30"/>
      <c r="L29" s="30"/>
    </row>
    <row r="30" spans="2:16" x14ac:dyDescent="0.25">
      <c r="J30" s="30"/>
      <c r="L30" s="30"/>
    </row>
    <row r="31" spans="2:16" x14ac:dyDescent="0.25">
      <c r="J31" s="30"/>
      <c r="L31" s="30"/>
    </row>
    <row r="32" spans="2:16" x14ac:dyDescent="0.25">
      <c r="G32" s="115"/>
      <c r="J32" s="30"/>
    </row>
    <row r="33" spans="10:10" x14ac:dyDescent="0.25">
      <c r="J33" s="30"/>
    </row>
    <row r="34" spans="10:10" x14ac:dyDescent="0.25">
      <c r="J34" s="30"/>
    </row>
    <row r="35" spans="10:10" x14ac:dyDescent="0.25">
      <c r="J35" s="30"/>
    </row>
    <row r="36" spans="10:10" x14ac:dyDescent="0.25">
      <c r="J36" s="30"/>
    </row>
    <row r="37" spans="10:10" x14ac:dyDescent="0.25">
      <c r="J37" s="30"/>
    </row>
  </sheetData>
  <protectedRanges>
    <protectedRange sqref="B5" name="Keuzemenu"/>
  </protectedRanges>
  <mergeCells count="6">
    <mergeCell ref="B5:B7"/>
    <mergeCell ref="N17:P17"/>
    <mergeCell ref="I5:L5"/>
    <mergeCell ref="I6:J6"/>
    <mergeCell ref="K6:L6"/>
    <mergeCell ref="C5:F5"/>
  </mergeCells>
  <phoneticPr fontId="30" type="noConversion"/>
  <dataValidations disablePrompts="1" count="1">
    <dataValidation type="list" allowBlank="1" showInputMessage="1" showErrorMessage="1" sqref="B5" xr:uid="{D8C8AF74-1214-4008-872D-B2ACEFA7B376}">
      <formula1>$P$2:$P$3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&amp;C_x000D_&amp;1#&amp;"Calibri"&amp;10&amp;K000000 Strikt Vertrouwelijk/Highly Confidential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7897E-E7FE-4212-A728-E67B64B1FF28}">
  <dimension ref="B1:I22"/>
  <sheetViews>
    <sheetView workbookViewId="0">
      <selection activeCell="D28" sqref="D28"/>
    </sheetView>
  </sheetViews>
  <sheetFormatPr defaultRowHeight="15" x14ac:dyDescent="0.25"/>
  <cols>
    <col min="2" max="2" width="29.42578125" bestFit="1" customWidth="1"/>
    <col min="3" max="3" width="13.85546875" bestFit="1" customWidth="1"/>
    <col min="4" max="4" width="19.42578125" bestFit="1" customWidth="1"/>
    <col min="5" max="5" width="16.85546875" customWidth="1"/>
    <col min="6" max="6" width="15.7109375" customWidth="1"/>
    <col min="7" max="7" width="20.85546875" customWidth="1"/>
    <col min="8" max="8" width="14.28515625" bestFit="1" customWidth="1"/>
    <col min="9" max="9" width="60.5703125" bestFit="1" customWidth="1"/>
    <col min="12" max="14" width="13.85546875" bestFit="1" customWidth="1"/>
  </cols>
  <sheetData>
    <row r="1" spans="2:9" ht="7.5" customHeight="1" x14ac:dyDescent="0.25"/>
    <row r="2" spans="2:9" ht="18.75" x14ac:dyDescent="0.3">
      <c r="B2" s="4" t="s">
        <v>38</v>
      </c>
    </row>
    <row r="3" spans="2:9" ht="15.75" thickBot="1" x14ac:dyDescent="0.3">
      <c r="D3" s="21"/>
    </row>
    <row r="4" spans="2:9" ht="15.75" thickBot="1" x14ac:dyDescent="0.3">
      <c r="D4" s="21"/>
      <c r="I4" s="103" t="s">
        <v>15</v>
      </c>
    </row>
    <row r="5" spans="2:9" x14ac:dyDescent="0.25">
      <c r="B5" s="67"/>
      <c r="C5" s="180" t="s">
        <v>39</v>
      </c>
      <c r="D5" s="180"/>
      <c r="E5" s="180"/>
      <c r="F5" s="180"/>
      <c r="G5" s="68" t="s">
        <v>40</v>
      </c>
      <c r="I5" s="104" t="s">
        <v>17</v>
      </c>
    </row>
    <row r="6" spans="2:9" x14ac:dyDescent="0.25">
      <c r="B6" s="69" t="s">
        <v>41</v>
      </c>
      <c r="C6" s="125" t="s">
        <v>42</v>
      </c>
      <c r="D6" s="125" t="s">
        <v>43</v>
      </c>
      <c r="E6" s="125" t="s">
        <v>44</v>
      </c>
      <c r="F6" s="125" t="s">
        <v>45</v>
      </c>
      <c r="G6" s="70" t="s">
        <v>46</v>
      </c>
      <c r="I6" s="105" t="s">
        <v>19</v>
      </c>
    </row>
    <row r="7" spans="2:9" x14ac:dyDescent="0.25">
      <c r="B7" s="71" t="s">
        <v>16</v>
      </c>
      <c r="C7" s="107"/>
      <c r="D7" s="130"/>
      <c r="E7" s="133"/>
      <c r="F7" s="133"/>
      <c r="G7" s="153">
        <f>'Profile end users'!E231</f>
        <v>0</v>
      </c>
      <c r="I7" s="106" t="s">
        <v>21</v>
      </c>
    </row>
    <row r="8" spans="2:9" ht="15.75" thickBot="1" x14ac:dyDescent="0.3">
      <c r="B8" s="71" t="s">
        <v>18</v>
      </c>
      <c r="C8" s="107"/>
      <c r="D8" s="130"/>
      <c r="E8" s="133"/>
      <c r="F8" s="133"/>
      <c r="G8" s="153">
        <f>'Profile end users'!E232</f>
        <v>0</v>
      </c>
      <c r="I8" s="157" t="s">
        <v>23</v>
      </c>
    </row>
    <row r="9" spans="2:9" x14ac:dyDescent="0.25">
      <c r="B9" s="71" t="s">
        <v>20</v>
      </c>
      <c r="C9" s="107"/>
      <c r="D9" s="130"/>
      <c r="E9" s="133"/>
      <c r="F9" s="133"/>
      <c r="G9" s="153">
        <f>'Profile end users'!E233</f>
        <v>0</v>
      </c>
    </row>
    <row r="10" spans="2:9" x14ac:dyDescent="0.25">
      <c r="B10" s="71" t="s">
        <v>22</v>
      </c>
      <c r="C10" s="107"/>
      <c r="D10" s="130"/>
      <c r="E10" s="133"/>
      <c r="F10" s="133"/>
      <c r="G10" s="153">
        <f>'Profile end users'!E234</f>
        <v>0</v>
      </c>
    </row>
    <row r="11" spans="2:9" x14ac:dyDescent="0.25">
      <c r="B11" s="71" t="s">
        <v>24</v>
      </c>
      <c r="C11" s="107"/>
      <c r="D11" s="130"/>
      <c r="E11" s="133"/>
      <c r="F11" s="133"/>
      <c r="G11" s="153">
        <f>'Profile end users'!E235</f>
        <v>0</v>
      </c>
    </row>
    <row r="12" spans="2:9" x14ac:dyDescent="0.25">
      <c r="B12" s="71" t="s">
        <v>25</v>
      </c>
      <c r="C12" s="107"/>
      <c r="D12" s="130"/>
      <c r="E12" s="133"/>
      <c r="F12" s="133"/>
      <c r="G12" s="153">
        <f>'Profile end users'!E236</f>
        <v>0</v>
      </c>
    </row>
    <row r="13" spans="2:9" x14ac:dyDescent="0.25">
      <c r="B13" s="71" t="s">
        <v>26</v>
      </c>
      <c r="C13" s="107"/>
      <c r="D13" s="130"/>
      <c r="E13" s="133"/>
      <c r="F13" s="133"/>
      <c r="G13" s="153">
        <f>'Profile end users'!E237</f>
        <v>0</v>
      </c>
    </row>
    <row r="14" spans="2:9" x14ac:dyDescent="0.25">
      <c r="B14" s="71" t="s">
        <v>28</v>
      </c>
      <c r="C14" s="107"/>
      <c r="D14" s="130"/>
      <c r="E14" s="133"/>
      <c r="F14" s="133"/>
      <c r="G14" s="153">
        <f>'Profile end users'!E238</f>
        <v>0</v>
      </c>
    </row>
    <row r="15" spans="2:9" x14ac:dyDescent="0.25">
      <c r="B15" s="71" t="s">
        <v>30</v>
      </c>
      <c r="C15" s="107"/>
      <c r="D15" s="130"/>
      <c r="E15" s="133"/>
      <c r="F15" s="133"/>
      <c r="G15" s="153">
        <f>'Profile end users'!E239</f>
        <v>0</v>
      </c>
    </row>
    <row r="16" spans="2:9" x14ac:dyDescent="0.25">
      <c r="B16" s="71" t="s">
        <v>32</v>
      </c>
      <c r="C16" s="107"/>
      <c r="D16" s="130"/>
      <c r="E16" s="133"/>
      <c r="F16" s="133"/>
      <c r="G16" s="153">
        <f>'Profile end users'!E240</f>
        <v>0</v>
      </c>
    </row>
    <row r="17" spans="2:7" x14ac:dyDescent="0.25">
      <c r="B17" s="71" t="s">
        <v>34</v>
      </c>
      <c r="C17" s="107"/>
      <c r="D17" s="130"/>
      <c r="E17" s="133"/>
      <c r="F17" s="133"/>
      <c r="G17" s="153">
        <f>'Profile end users'!E241</f>
        <v>0</v>
      </c>
    </row>
    <row r="18" spans="2:7" x14ac:dyDescent="0.25">
      <c r="B18" s="71" t="s">
        <v>35</v>
      </c>
      <c r="C18" s="107"/>
      <c r="D18" s="130"/>
      <c r="E18" s="133"/>
      <c r="F18" s="133"/>
      <c r="G18" s="153">
        <f>'Profile end users'!E242</f>
        <v>0</v>
      </c>
    </row>
    <row r="19" spans="2:7" ht="15.75" thickBot="1" x14ac:dyDescent="0.3">
      <c r="B19" s="72"/>
      <c r="C19" s="73"/>
      <c r="D19" s="74"/>
      <c r="E19" s="74"/>
      <c r="F19" s="75" t="s">
        <v>47</v>
      </c>
      <c r="G19" s="76">
        <f>SUM(G7:G18)</f>
        <v>0</v>
      </c>
    </row>
    <row r="20" spans="2:7" x14ac:dyDescent="0.25">
      <c r="C20" s="22"/>
      <c r="F20" s="1"/>
      <c r="G20" s="41"/>
    </row>
    <row r="21" spans="2:7" x14ac:dyDescent="0.25">
      <c r="B21" s="2" t="s">
        <v>37</v>
      </c>
    </row>
    <row r="22" spans="2:7" x14ac:dyDescent="0.25">
      <c r="B22" s="2"/>
    </row>
  </sheetData>
  <mergeCells count="1">
    <mergeCell ref="C5:F5"/>
  </mergeCells>
  <pageMargins left="0.7" right="0.7" top="0.75" bottom="0.75" header="0.3" footer="0.3"/>
  <pageSetup paperSize="9" orientation="portrait" r:id="rId1"/>
  <headerFooter>
    <oddFooter>&amp;C_x000D_&amp;1#&amp;"Calibri"&amp;10&amp;K000000 Strikt Vertrouwelijk/Highly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269BB-709C-4309-93FD-9E4895E4C3A6}">
  <dimension ref="A1:O212"/>
  <sheetViews>
    <sheetView topLeftCell="A106" workbookViewId="0">
      <selection activeCell="G128" sqref="G128"/>
    </sheetView>
  </sheetViews>
  <sheetFormatPr defaultColWidth="9.140625" defaultRowHeight="15" x14ac:dyDescent="0.25"/>
  <cols>
    <col min="1" max="1" width="28.5703125" customWidth="1"/>
    <col min="2" max="2" width="13" customWidth="1"/>
    <col min="3" max="3" width="23.140625" bestFit="1" customWidth="1"/>
    <col min="4" max="4" width="24.5703125" customWidth="1"/>
    <col min="5" max="5" width="20.42578125" bestFit="1" customWidth="1"/>
    <col min="6" max="6" width="18.85546875" customWidth="1"/>
    <col min="7" max="7" width="15.28515625" customWidth="1"/>
    <col min="8" max="8" width="16.42578125" bestFit="1" customWidth="1"/>
    <col min="9" max="9" width="31.42578125" bestFit="1" customWidth="1"/>
    <col min="13" max="13" width="16.42578125" bestFit="1" customWidth="1"/>
  </cols>
  <sheetData>
    <row r="1" spans="1:9" ht="21" x14ac:dyDescent="0.35">
      <c r="A1" s="12" t="s">
        <v>48</v>
      </c>
    </row>
    <row r="3" spans="1:9" ht="18.75" x14ac:dyDescent="0.3">
      <c r="A3" s="4" t="s">
        <v>49</v>
      </c>
    </row>
    <row r="4" spans="1:9" s="25" customFormat="1" ht="15.75" x14ac:dyDescent="0.25">
      <c r="A4" t="s">
        <v>50</v>
      </c>
      <c r="B4" t="s">
        <v>51</v>
      </c>
      <c r="C4"/>
      <c r="F4" s="5"/>
    </row>
    <row r="5" spans="1:9" s="25" customFormat="1" ht="15.75" x14ac:dyDescent="0.25">
      <c r="A5" t="s">
        <v>52</v>
      </c>
      <c r="B5" t="s">
        <v>53</v>
      </c>
      <c r="C5"/>
      <c r="F5" s="5"/>
    </row>
    <row r="6" spans="1:9" x14ac:dyDescent="0.25">
      <c r="A6" t="s">
        <v>54</v>
      </c>
      <c r="B6" t="s">
        <v>55</v>
      </c>
    </row>
    <row r="7" spans="1:9" x14ac:dyDescent="0.25">
      <c r="A7" t="s">
        <v>56</v>
      </c>
      <c r="B7" t="s">
        <v>57</v>
      </c>
      <c r="I7" s="5" t="s">
        <v>58</v>
      </c>
    </row>
    <row r="8" spans="1:9" x14ac:dyDescent="0.25">
      <c r="A8" t="s">
        <v>59</v>
      </c>
      <c r="B8" t="s">
        <v>60</v>
      </c>
    </row>
    <row r="9" spans="1:9" x14ac:dyDescent="0.25">
      <c r="B9" t="s">
        <v>61</v>
      </c>
    </row>
    <row r="10" spans="1:9" x14ac:dyDescent="0.25">
      <c r="A10" t="s">
        <v>62</v>
      </c>
      <c r="B10" t="s">
        <v>63</v>
      </c>
    </row>
    <row r="12" spans="1:9" ht="15.75" x14ac:dyDescent="0.25">
      <c r="A12" s="25"/>
      <c r="D12" s="15"/>
    </row>
    <row r="13" spans="1:9" ht="18.75" x14ac:dyDescent="0.3">
      <c r="A13" s="4" t="s">
        <v>50</v>
      </c>
      <c r="B13" s="4" t="str">
        <f>B4</f>
        <v>GTS calculates the total market max. usage for telemetry end users based on OV-exit data received from DSO's</v>
      </c>
      <c r="G13" s="5"/>
    </row>
    <row r="14" spans="1:9" ht="18.75" x14ac:dyDescent="0.3">
      <c r="B14" s="4"/>
    </row>
    <row r="15" spans="1:9" ht="51" x14ac:dyDescent="0.25">
      <c r="A15" s="34" t="s">
        <v>64</v>
      </c>
      <c r="B15" s="38" t="s">
        <v>65</v>
      </c>
    </row>
    <row r="16" spans="1:9" x14ac:dyDescent="0.25">
      <c r="A16" s="6" t="s">
        <v>66</v>
      </c>
      <c r="B16" s="132">
        <v>20056201</v>
      </c>
      <c r="D16" s="56"/>
    </row>
    <row r="17" spans="1:7" x14ac:dyDescent="0.25">
      <c r="B17" s="19"/>
      <c r="C17" s="2"/>
      <c r="D17" s="1"/>
    </row>
    <row r="18" spans="1:7" ht="15.75" x14ac:dyDescent="0.25">
      <c r="A18" s="25"/>
      <c r="B18" s="19"/>
      <c r="C18" s="2"/>
      <c r="D18" s="15"/>
    </row>
    <row r="19" spans="1:7" ht="19.5" thickBot="1" x14ac:dyDescent="0.35">
      <c r="A19" s="4" t="s">
        <v>52</v>
      </c>
      <c r="B19" s="4" t="str">
        <f>B5</f>
        <v>GTS calculates the profile factor for each month (revised per 1 january 2023)</v>
      </c>
      <c r="G19" s="5"/>
    </row>
    <row r="20" spans="1:7" ht="15.75" thickBot="1" x14ac:dyDescent="0.3">
      <c r="D20" s="16"/>
    </row>
    <row r="21" spans="1:7" ht="26.25" thickBot="1" x14ac:dyDescent="0.3">
      <c r="A21" s="39" t="s">
        <v>41</v>
      </c>
      <c r="B21" s="126" t="s">
        <v>67</v>
      </c>
      <c r="D21" s="19"/>
      <c r="E21" s="17"/>
    </row>
    <row r="22" spans="1:7" x14ac:dyDescent="0.25">
      <c r="A22" s="18" t="s">
        <v>16</v>
      </c>
      <c r="B22" s="11">
        <v>1</v>
      </c>
      <c r="D22" s="19"/>
      <c r="E22" s="19"/>
    </row>
    <row r="23" spans="1:7" x14ac:dyDescent="0.25">
      <c r="A23" s="18" t="s">
        <v>18</v>
      </c>
      <c r="B23" s="11">
        <v>1</v>
      </c>
      <c r="D23" s="19"/>
      <c r="E23" s="19"/>
    </row>
    <row r="24" spans="1:7" x14ac:dyDescent="0.25">
      <c r="A24" s="18" t="s">
        <v>20</v>
      </c>
      <c r="B24" s="11">
        <v>0.8</v>
      </c>
      <c r="D24" s="19"/>
      <c r="E24" s="19"/>
    </row>
    <row r="25" spans="1:7" x14ac:dyDescent="0.25">
      <c r="A25" s="18" t="s">
        <v>22</v>
      </c>
      <c r="B25" s="11">
        <v>0.7</v>
      </c>
      <c r="D25" s="19"/>
      <c r="E25" s="19"/>
    </row>
    <row r="26" spans="1:7" x14ac:dyDescent="0.25">
      <c r="A26" s="18" t="s">
        <v>24</v>
      </c>
      <c r="B26" s="11">
        <v>0.63</v>
      </c>
      <c r="D26" s="19"/>
      <c r="E26" s="19"/>
    </row>
    <row r="27" spans="1:7" x14ac:dyDescent="0.25">
      <c r="A27" s="18" t="s">
        <v>25</v>
      </c>
      <c r="B27" s="11">
        <v>0.55000000000000004</v>
      </c>
      <c r="D27" s="19"/>
      <c r="E27" s="19"/>
    </row>
    <row r="28" spans="1:7" x14ac:dyDescent="0.25">
      <c r="A28" s="18" t="s">
        <v>26</v>
      </c>
      <c r="B28" s="11">
        <v>0.5</v>
      </c>
      <c r="D28" s="19"/>
      <c r="E28" s="19"/>
    </row>
    <row r="29" spans="1:7" x14ac:dyDescent="0.25">
      <c r="A29" s="18" t="s">
        <v>28</v>
      </c>
      <c r="B29" s="11">
        <v>0.5</v>
      </c>
      <c r="D29" s="19"/>
      <c r="E29" s="19"/>
    </row>
    <row r="30" spans="1:7" x14ac:dyDescent="0.25">
      <c r="A30" s="18" t="s">
        <v>30</v>
      </c>
      <c r="B30" s="11">
        <v>0.56999999999999995</v>
      </c>
      <c r="D30" s="19"/>
      <c r="E30" s="19"/>
    </row>
    <row r="31" spans="1:7" x14ac:dyDescent="0.25">
      <c r="A31" s="18" t="s">
        <v>32</v>
      </c>
      <c r="B31" s="11">
        <v>0.68</v>
      </c>
      <c r="D31" s="19"/>
      <c r="E31" s="19"/>
    </row>
    <row r="32" spans="1:7" x14ac:dyDescent="0.25">
      <c r="A32" s="18" t="s">
        <v>34</v>
      </c>
      <c r="B32" s="11">
        <v>0.8</v>
      </c>
      <c r="D32" s="19"/>
      <c r="E32" s="19"/>
    </row>
    <row r="33" spans="1:7" x14ac:dyDescent="0.25">
      <c r="A33" s="18" t="s">
        <v>35</v>
      </c>
      <c r="B33" s="11">
        <v>1</v>
      </c>
      <c r="E33" s="19"/>
    </row>
    <row r="35" spans="1:7" ht="15.75" x14ac:dyDescent="0.25">
      <c r="A35" s="25"/>
      <c r="D35" s="15"/>
    </row>
    <row r="36" spans="1:7" ht="19.5" thickBot="1" x14ac:dyDescent="0.35">
      <c r="A36" s="4" t="s">
        <v>54</v>
      </c>
      <c r="B36" s="4" t="str">
        <f>B6</f>
        <v>GTS calculates the capacity profile for the whole telemetry end user market</v>
      </c>
      <c r="G36" s="5"/>
    </row>
    <row r="37" spans="1:7" ht="15.75" thickBot="1" x14ac:dyDescent="0.3">
      <c r="C37" s="16"/>
    </row>
    <row r="38" spans="1:7" ht="15.75" thickBot="1" x14ac:dyDescent="0.3">
      <c r="A38" s="39" t="s">
        <v>41</v>
      </c>
      <c r="B38" s="34" t="s">
        <v>68</v>
      </c>
      <c r="C38" s="19"/>
      <c r="D38" s="17"/>
    </row>
    <row r="39" spans="1:7" x14ac:dyDescent="0.25">
      <c r="A39" s="18" t="s">
        <v>16</v>
      </c>
      <c r="B39" s="132">
        <f t="shared" ref="B39:B50" si="0">B22*$B$16</f>
        <v>20056201</v>
      </c>
      <c r="C39" s="19"/>
      <c r="D39" s="19"/>
    </row>
    <row r="40" spans="1:7" x14ac:dyDescent="0.25">
      <c r="A40" s="18" t="s">
        <v>18</v>
      </c>
      <c r="B40" s="132">
        <f t="shared" si="0"/>
        <v>20056201</v>
      </c>
      <c r="C40" s="19"/>
      <c r="D40" s="19"/>
    </row>
    <row r="41" spans="1:7" x14ac:dyDescent="0.25">
      <c r="A41" s="18" t="s">
        <v>20</v>
      </c>
      <c r="B41" s="132">
        <f t="shared" si="0"/>
        <v>16044960.800000001</v>
      </c>
      <c r="C41" s="19"/>
      <c r="D41" s="19"/>
    </row>
    <row r="42" spans="1:7" x14ac:dyDescent="0.25">
      <c r="A42" s="18" t="s">
        <v>22</v>
      </c>
      <c r="B42" s="132">
        <f t="shared" si="0"/>
        <v>14039340.699999999</v>
      </c>
      <c r="C42" s="19"/>
      <c r="D42" s="19"/>
    </row>
    <row r="43" spans="1:7" x14ac:dyDescent="0.25">
      <c r="A43" s="18" t="s">
        <v>24</v>
      </c>
      <c r="B43" s="132">
        <f>B26*$B$16</f>
        <v>12635406.630000001</v>
      </c>
      <c r="C43" s="19"/>
      <c r="D43" s="19"/>
    </row>
    <row r="44" spans="1:7" x14ac:dyDescent="0.25">
      <c r="A44" s="18" t="s">
        <v>25</v>
      </c>
      <c r="B44" s="132">
        <f t="shared" si="0"/>
        <v>11030910.550000001</v>
      </c>
      <c r="C44" s="19"/>
      <c r="D44" s="19"/>
    </row>
    <row r="45" spans="1:7" x14ac:dyDescent="0.25">
      <c r="A45" s="18" t="s">
        <v>26</v>
      </c>
      <c r="B45" s="132">
        <f t="shared" si="0"/>
        <v>10028100.5</v>
      </c>
      <c r="C45" s="19"/>
      <c r="D45" s="19"/>
    </row>
    <row r="46" spans="1:7" x14ac:dyDescent="0.25">
      <c r="A46" s="18" t="s">
        <v>28</v>
      </c>
      <c r="B46" s="132">
        <f t="shared" si="0"/>
        <v>10028100.5</v>
      </c>
      <c r="C46" s="19"/>
      <c r="D46" s="19"/>
    </row>
    <row r="47" spans="1:7" x14ac:dyDescent="0.25">
      <c r="A47" s="18" t="s">
        <v>30</v>
      </c>
      <c r="B47" s="132">
        <f t="shared" si="0"/>
        <v>11432034.569999998</v>
      </c>
      <c r="C47" s="19"/>
      <c r="D47" s="19"/>
    </row>
    <row r="48" spans="1:7" x14ac:dyDescent="0.25">
      <c r="A48" s="18" t="s">
        <v>32</v>
      </c>
      <c r="B48" s="132">
        <f t="shared" si="0"/>
        <v>13638216.680000002</v>
      </c>
      <c r="C48" s="19"/>
      <c r="D48" s="19"/>
    </row>
    <row r="49" spans="1:7" x14ac:dyDescent="0.25">
      <c r="A49" s="18" t="s">
        <v>34</v>
      </c>
      <c r="B49" s="132">
        <f t="shared" si="0"/>
        <v>16044960.800000001</v>
      </c>
      <c r="C49" s="19"/>
      <c r="D49" s="19"/>
    </row>
    <row r="50" spans="1:7" x14ac:dyDescent="0.25">
      <c r="A50" s="18" t="s">
        <v>35</v>
      </c>
      <c r="B50" s="132">
        <f t="shared" si="0"/>
        <v>20056201</v>
      </c>
      <c r="D50" s="19"/>
    </row>
    <row r="52" spans="1:7" ht="15.75" x14ac:dyDescent="0.25">
      <c r="A52" s="25"/>
      <c r="D52" s="15"/>
    </row>
    <row r="53" spans="1:7" ht="18.75" x14ac:dyDescent="0.3">
      <c r="A53" s="4" t="s">
        <v>56</v>
      </c>
      <c r="B53" s="4" t="str">
        <f>B7</f>
        <v>Based on the total market capacity profile, GTS determines the optimal conversion to standard products: Year, Quarter and Month products</v>
      </c>
      <c r="G53" s="5"/>
    </row>
    <row r="54" spans="1:7" x14ac:dyDescent="0.25">
      <c r="C54" s="9"/>
      <c r="D54" s="9"/>
      <c r="E54" s="9"/>
      <c r="F54" s="9"/>
    </row>
    <row r="55" spans="1:7" x14ac:dyDescent="0.25">
      <c r="A55" s="40" t="s">
        <v>41</v>
      </c>
      <c r="B55" s="34" t="s">
        <v>69</v>
      </c>
      <c r="C55" s="58" t="s">
        <v>70</v>
      </c>
      <c r="D55" s="58" t="s">
        <v>71</v>
      </c>
      <c r="E55" s="58" t="s">
        <v>72</v>
      </c>
      <c r="F55" s="59" t="s">
        <v>73</v>
      </c>
    </row>
    <row r="56" spans="1:7" x14ac:dyDescent="0.25">
      <c r="A56" s="34"/>
      <c r="B56" s="42" t="s">
        <v>1</v>
      </c>
      <c r="C56" s="42" t="s">
        <v>1</v>
      </c>
      <c r="D56" s="42" t="s">
        <v>1</v>
      </c>
      <c r="E56" s="42" t="s">
        <v>1</v>
      </c>
      <c r="F56" s="42" t="s">
        <v>1</v>
      </c>
    </row>
    <row r="57" spans="1:7" x14ac:dyDescent="0.25">
      <c r="A57" s="18" t="s">
        <v>16</v>
      </c>
      <c r="B57" s="132">
        <f t="shared" ref="B57:B68" si="1">B39</f>
        <v>20056201</v>
      </c>
      <c r="C57" s="132">
        <v>12635406.630000001</v>
      </c>
      <c r="D57" s="132">
        <v>3409554.17</v>
      </c>
      <c r="E57" s="132">
        <v>4011240.1999999993</v>
      </c>
      <c r="F57" s="132">
        <f>C57+D57+E57</f>
        <v>20056201</v>
      </c>
    </row>
    <row r="58" spans="1:7" x14ac:dyDescent="0.25">
      <c r="A58" s="18" t="s">
        <v>18</v>
      </c>
      <c r="B58" s="132">
        <f t="shared" si="1"/>
        <v>20056201</v>
      </c>
      <c r="C58" s="132">
        <v>12635406.630000001</v>
      </c>
      <c r="D58" s="132">
        <v>3409554.17</v>
      </c>
      <c r="E58" s="132">
        <v>4011240.1999999993</v>
      </c>
      <c r="F58" s="132">
        <f t="shared" ref="F58:F68" si="2">C58+D58+E58</f>
        <v>20056201</v>
      </c>
    </row>
    <row r="59" spans="1:7" x14ac:dyDescent="0.25">
      <c r="A59" s="18" t="s">
        <v>20</v>
      </c>
      <c r="B59" s="132">
        <f t="shared" si="1"/>
        <v>16044960.800000001</v>
      </c>
      <c r="C59" s="132">
        <v>12635406.630000001</v>
      </c>
      <c r="D59" s="132">
        <v>3409554.17</v>
      </c>
      <c r="E59" s="132">
        <v>0</v>
      </c>
      <c r="F59" s="132">
        <f t="shared" si="2"/>
        <v>16044960.800000001</v>
      </c>
    </row>
    <row r="60" spans="1:7" x14ac:dyDescent="0.25">
      <c r="A60" s="18" t="s">
        <v>22</v>
      </c>
      <c r="B60" s="132">
        <f t="shared" si="1"/>
        <v>14039340.699999999</v>
      </c>
      <c r="C60" s="132">
        <v>12635406.630000001</v>
      </c>
      <c r="D60" s="132">
        <v>0</v>
      </c>
      <c r="E60" s="132">
        <v>1403934.0699999984</v>
      </c>
      <c r="F60" s="132">
        <f t="shared" si="2"/>
        <v>14039340.699999999</v>
      </c>
    </row>
    <row r="61" spans="1:7" x14ac:dyDescent="0.25">
      <c r="A61" s="18" t="s">
        <v>24</v>
      </c>
      <c r="B61" s="132">
        <f t="shared" si="1"/>
        <v>12635406.630000001</v>
      </c>
      <c r="C61" s="132">
        <v>12635406.630000001</v>
      </c>
      <c r="D61" s="132">
        <v>0</v>
      </c>
      <c r="E61" s="132">
        <v>0</v>
      </c>
      <c r="F61" s="132">
        <f t="shared" si="2"/>
        <v>12635406.630000001</v>
      </c>
    </row>
    <row r="62" spans="1:7" x14ac:dyDescent="0.25">
      <c r="A62" s="18" t="s">
        <v>25</v>
      </c>
      <c r="B62" s="132">
        <f t="shared" si="1"/>
        <v>11030910.550000001</v>
      </c>
      <c r="C62" s="132">
        <v>12635406.630000001</v>
      </c>
      <c r="D62" s="132">
        <v>0</v>
      </c>
      <c r="E62" s="132">
        <v>0</v>
      </c>
      <c r="F62" s="132">
        <f t="shared" si="2"/>
        <v>12635406.630000001</v>
      </c>
    </row>
    <row r="63" spans="1:7" x14ac:dyDescent="0.25">
      <c r="A63" s="18" t="s">
        <v>26</v>
      </c>
      <c r="B63" s="132">
        <f t="shared" si="1"/>
        <v>10028100.5</v>
      </c>
      <c r="C63" s="132">
        <v>12635406.630000001</v>
      </c>
      <c r="D63" s="132">
        <v>0</v>
      </c>
      <c r="E63" s="132">
        <v>0</v>
      </c>
      <c r="F63" s="132">
        <f t="shared" si="2"/>
        <v>12635406.630000001</v>
      </c>
    </row>
    <row r="64" spans="1:7" x14ac:dyDescent="0.25">
      <c r="A64" s="18" t="s">
        <v>28</v>
      </c>
      <c r="B64" s="132">
        <f t="shared" si="1"/>
        <v>10028100.5</v>
      </c>
      <c r="C64" s="132">
        <v>12635406.630000001</v>
      </c>
      <c r="D64" s="132">
        <v>0</v>
      </c>
      <c r="E64" s="132">
        <v>0</v>
      </c>
      <c r="F64" s="132">
        <f t="shared" si="2"/>
        <v>12635406.630000001</v>
      </c>
    </row>
    <row r="65" spans="1:8" x14ac:dyDescent="0.25">
      <c r="A65" s="18" t="s">
        <v>30</v>
      </c>
      <c r="B65" s="132">
        <f t="shared" si="1"/>
        <v>11432034.569999998</v>
      </c>
      <c r="C65" s="132">
        <v>12635406.630000001</v>
      </c>
      <c r="D65" s="132">
        <v>0</v>
      </c>
      <c r="E65" s="132">
        <v>0</v>
      </c>
      <c r="F65" s="132">
        <f t="shared" si="2"/>
        <v>12635406.630000001</v>
      </c>
    </row>
    <row r="66" spans="1:8" x14ac:dyDescent="0.25">
      <c r="A66" s="18" t="s">
        <v>32</v>
      </c>
      <c r="B66" s="132">
        <f t="shared" si="1"/>
        <v>13638216.680000002</v>
      </c>
      <c r="C66" s="132">
        <v>12635406.630000001</v>
      </c>
      <c r="D66" s="132">
        <v>1002810.0500000007</v>
      </c>
      <c r="E66" s="132">
        <v>0</v>
      </c>
      <c r="F66" s="132">
        <f t="shared" si="2"/>
        <v>13638216.680000002</v>
      </c>
    </row>
    <row r="67" spans="1:8" x14ac:dyDescent="0.25">
      <c r="A67" s="18" t="s">
        <v>34</v>
      </c>
      <c r="B67" s="132">
        <f t="shared" si="1"/>
        <v>16044960.800000001</v>
      </c>
      <c r="C67" s="132">
        <v>12635406.630000001</v>
      </c>
      <c r="D67" s="132">
        <v>1002810.0500000007</v>
      </c>
      <c r="E67" s="132">
        <v>2406744.1199999992</v>
      </c>
      <c r="F67" s="132">
        <f t="shared" si="2"/>
        <v>16044960.800000001</v>
      </c>
    </row>
    <row r="68" spans="1:8" x14ac:dyDescent="0.25">
      <c r="A68" s="18" t="s">
        <v>35</v>
      </c>
      <c r="B68" s="132">
        <f t="shared" si="1"/>
        <v>20056201</v>
      </c>
      <c r="C68" s="132">
        <v>12635406.630000001</v>
      </c>
      <c r="D68" s="132">
        <v>1002810.0500000007</v>
      </c>
      <c r="E68" s="132">
        <v>6417984.3199999984</v>
      </c>
      <c r="F68" s="132">
        <f t="shared" si="2"/>
        <v>20056201</v>
      </c>
    </row>
    <row r="70" spans="1:8" ht="15.75" x14ac:dyDescent="0.25">
      <c r="A70" s="25"/>
      <c r="D70" s="15"/>
    </row>
    <row r="71" spans="1:8" ht="19.5" thickBot="1" x14ac:dyDescent="0.35">
      <c r="A71" s="4" t="s">
        <v>59</v>
      </c>
      <c r="B71" s="4" t="str">
        <f>B8</f>
        <v>GTS calculates which part of the capacity will be converted to a Year product, which part will be converted to a Quarter product and which part will be converted to a Month product</v>
      </c>
      <c r="G71" s="5"/>
    </row>
    <row r="72" spans="1:8" ht="19.5" thickBot="1" x14ac:dyDescent="0.35">
      <c r="B72" s="4" t="str">
        <f>B9</f>
        <v>The result is expressed in the Split factors and Booking factor</v>
      </c>
      <c r="D72" s="16"/>
    </row>
    <row r="74" spans="1:8" x14ac:dyDescent="0.25">
      <c r="A74" s="40" t="s">
        <v>41</v>
      </c>
      <c r="B74" s="34"/>
      <c r="C74" s="181" t="s">
        <v>74</v>
      </c>
      <c r="D74" s="182"/>
      <c r="E74" s="182"/>
      <c r="F74" s="57"/>
      <c r="G74" s="6"/>
      <c r="H74" s="43" t="s">
        <v>75</v>
      </c>
    </row>
    <row r="75" spans="1:8" x14ac:dyDescent="0.25">
      <c r="A75" s="34"/>
      <c r="B75" s="34"/>
      <c r="C75" s="37" t="s">
        <v>76</v>
      </c>
      <c r="D75" s="37" t="s">
        <v>77</v>
      </c>
      <c r="E75" s="37" t="s">
        <v>41</v>
      </c>
      <c r="F75" s="42" t="s">
        <v>36</v>
      </c>
      <c r="G75" s="6"/>
      <c r="H75" s="6"/>
    </row>
    <row r="76" spans="1:8" x14ac:dyDescent="0.25">
      <c r="A76" s="18" t="s">
        <v>16</v>
      </c>
      <c r="B76" s="6"/>
      <c r="C76" s="85">
        <f>C57/F57</f>
        <v>0.63</v>
      </c>
      <c r="D76" s="85">
        <f t="shared" ref="D76:D87" si="3">D57/F57</f>
        <v>0.16999999999999998</v>
      </c>
      <c r="E76" s="85">
        <f t="shared" ref="E76:E87" si="4">E57/F57</f>
        <v>0.19999999999999996</v>
      </c>
      <c r="F76" s="85">
        <f>SUM(C76:E76)</f>
        <v>1</v>
      </c>
      <c r="G76" s="6"/>
      <c r="H76" s="86">
        <f t="shared" ref="H76:H87" si="5">F57/B57</f>
        <v>1</v>
      </c>
    </row>
    <row r="77" spans="1:8" x14ac:dyDescent="0.25">
      <c r="A77" s="18" t="s">
        <v>18</v>
      </c>
      <c r="B77" s="6"/>
      <c r="C77" s="85">
        <f t="shared" ref="C77:C87" si="6">C58/F58</f>
        <v>0.63</v>
      </c>
      <c r="D77" s="85">
        <f t="shared" si="3"/>
        <v>0.16999999999999998</v>
      </c>
      <c r="E77" s="85">
        <f t="shared" si="4"/>
        <v>0.19999999999999996</v>
      </c>
      <c r="F77" s="85">
        <f t="shared" ref="F77:F87" si="7">SUM(C77:E77)</f>
        <v>1</v>
      </c>
      <c r="G77" s="6"/>
      <c r="H77" s="86">
        <f t="shared" si="5"/>
        <v>1</v>
      </c>
    </row>
    <row r="78" spans="1:8" x14ac:dyDescent="0.25">
      <c r="A78" s="18" t="s">
        <v>20</v>
      </c>
      <c r="B78" s="6"/>
      <c r="C78" s="85">
        <f t="shared" si="6"/>
        <v>0.78749999999999998</v>
      </c>
      <c r="D78" s="85">
        <f t="shared" si="3"/>
        <v>0.21249999999999999</v>
      </c>
      <c r="E78" s="85">
        <f t="shared" si="4"/>
        <v>0</v>
      </c>
      <c r="F78" s="85">
        <f t="shared" si="7"/>
        <v>1</v>
      </c>
      <c r="G78" s="6"/>
      <c r="H78" s="86">
        <f t="shared" si="5"/>
        <v>1</v>
      </c>
    </row>
    <row r="79" spans="1:8" x14ac:dyDescent="0.25">
      <c r="A79" s="18" t="s">
        <v>22</v>
      </c>
      <c r="B79" s="6"/>
      <c r="C79" s="85">
        <f t="shared" si="6"/>
        <v>0.90000000000000013</v>
      </c>
      <c r="D79" s="85">
        <f t="shared" si="3"/>
        <v>0</v>
      </c>
      <c r="E79" s="85">
        <f t="shared" si="4"/>
        <v>9.9999999999999895E-2</v>
      </c>
      <c r="F79" s="85">
        <f t="shared" si="7"/>
        <v>1</v>
      </c>
      <c r="G79" s="6"/>
      <c r="H79" s="86">
        <f t="shared" si="5"/>
        <v>1</v>
      </c>
    </row>
    <row r="80" spans="1:8" x14ac:dyDescent="0.25">
      <c r="A80" s="18" t="s">
        <v>24</v>
      </c>
      <c r="B80" s="6"/>
      <c r="C80" s="85">
        <f t="shared" si="6"/>
        <v>1</v>
      </c>
      <c r="D80" s="85">
        <f t="shared" si="3"/>
        <v>0</v>
      </c>
      <c r="E80" s="85">
        <f t="shared" si="4"/>
        <v>0</v>
      </c>
      <c r="F80" s="85">
        <f t="shared" si="7"/>
        <v>1</v>
      </c>
      <c r="G80" s="6"/>
      <c r="H80" s="86">
        <f t="shared" si="5"/>
        <v>1</v>
      </c>
    </row>
    <row r="81" spans="1:8" x14ac:dyDescent="0.25">
      <c r="A81" s="18" t="s">
        <v>25</v>
      </c>
      <c r="B81" s="6"/>
      <c r="C81" s="85">
        <f t="shared" si="6"/>
        <v>1</v>
      </c>
      <c r="D81" s="85">
        <f t="shared" si="3"/>
        <v>0</v>
      </c>
      <c r="E81" s="85">
        <f t="shared" si="4"/>
        <v>0</v>
      </c>
      <c r="F81" s="85">
        <f t="shared" si="7"/>
        <v>1</v>
      </c>
      <c r="G81" s="6"/>
      <c r="H81" s="86">
        <f t="shared" si="5"/>
        <v>1.1454545454545455</v>
      </c>
    </row>
    <row r="82" spans="1:8" x14ac:dyDescent="0.25">
      <c r="A82" s="18" t="s">
        <v>26</v>
      </c>
      <c r="B82" s="6"/>
      <c r="C82" s="85">
        <f t="shared" si="6"/>
        <v>1</v>
      </c>
      <c r="D82" s="85">
        <f t="shared" si="3"/>
        <v>0</v>
      </c>
      <c r="E82" s="85">
        <f t="shared" si="4"/>
        <v>0</v>
      </c>
      <c r="F82" s="85">
        <f t="shared" si="7"/>
        <v>1</v>
      </c>
      <c r="G82" s="6"/>
      <c r="H82" s="86">
        <f t="shared" si="5"/>
        <v>1.26</v>
      </c>
    </row>
    <row r="83" spans="1:8" x14ac:dyDescent="0.25">
      <c r="A83" s="18" t="s">
        <v>28</v>
      </c>
      <c r="B83" s="6"/>
      <c r="C83" s="85">
        <f t="shared" si="6"/>
        <v>1</v>
      </c>
      <c r="D83" s="85">
        <f t="shared" si="3"/>
        <v>0</v>
      </c>
      <c r="E83" s="85">
        <f t="shared" si="4"/>
        <v>0</v>
      </c>
      <c r="F83" s="85">
        <f t="shared" si="7"/>
        <v>1</v>
      </c>
      <c r="G83" s="6"/>
      <c r="H83" s="86">
        <f t="shared" si="5"/>
        <v>1.26</v>
      </c>
    </row>
    <row r="84" spans="1:8" x14ac:dyDescent="0.25">
      <c r="A84" s="18" t="s">
        <v>30</v>
      </c>
      <c r="B84" s="6"/>
      <c r="C84" s="85">
        <f t="shared" si="6"/>
        <v>1</v>
      </c>
      <c r="D84" s="85">
        <f t="shared" si="3"/>
        <v>0</v>
      </c>
      <c r="E84" s="85">
        <f t="shared" si="4"/>
        <v>0</v>
      </c>
      <c r="F84" s="85">
        <f t="shared" si="7"/>
        <v>1</v>
      </c>
      <c r="G84" s="6"/>
      <c r="H84" s="86">
        <f t="shared" si="5"/>
        <v>1.1052631578947372</v>
      </c>
    </row>
    <row r="85" spans="1:8" x14ac:dyDescent="0.25">
      <c r="A85" s="18" t="s">
        <v>32</v>
      </c>
      <c r="B85" s="6"/>
      <c r="C85" s="85">
        <f t="shared" si="6"/>
        <v>0.92647058823529405</v>
      </c>
      <c r="D85" s="85">
        <f t="shared" si="3"/>
        <v>7.3529411764705926E-2</v>
      </c>
      <c r="E85" s="85">
        <f t="shared" si="4"/>
        <v>0</v>
      </c>
      <c r="F85" s="85">
        <f t="shared" si="7"/>
        <v>1</v>
      </c>
      <c r="G85" s="6"/>
      <c r="H85" s="86">
        <f t="shared" si="5"/>
        <v>1</v>
      </c>
    </row>
    <row r="86" spans="1:8" x14ac:dyDescent="0.25">
      <c r="A86" s="18" t="s">
        <v>34</v>
      </c>
      <c r="B86" s="6"/>
      <c r="C86" s="85">
        <f t="shared" si="6"/>
        <v>0.78749999999999998</v>
      </c>
      <c r="D86" s="85">
        <f t="shared" si="3"/>
        <v>6.2500000000000042E-2</v>
      </c>
      <c r="E86" s="85">
        <f t="shared" si="4"/>
        <v>0.14999999999999994</v>
      </c>
      <c r="F86" s="85">
        <f t="shared" si="7"/>
        <v>0.99999999999999989</v>
      </c>
      <c r="G86" s="6"/>
      <c r="H86" s="86">
        <f t="shared" si="5"/>
        <v>1</v>
      </c>
    </row>
    <row r="87" spans="1:8" x14ac:dyDescent="0.25">
      <c r="A87" s="18" t="s">
        <v>35</v>
      </c>
      <c r="B87" s="6"/>
      <c r="C87" s="85">
        <f t="shared" si="6"/>
        <v>0.63</v>
      </c>
      <c r="D87" s="85">
        <f t="shared" si="3"/>
        <v>5.0000000000000037E-2</v>
      </c>
      <c r="E87" s="85">
        <f t="shared" si="4"/>
        <v>0.3199999999999999</v>
      </c>
      <c r="F87" s="85">
        <f t="shared" si="7"/>
        <v>1</v>
      </c>
      <c r="G87" s="6"/>
      <c r="H87" s="86">
        <f t="shared" si="5"/>
        <v>1</v>
      </c>
    </row>
    <row r="88" spans="1:8" x14ac:dyDescent="0.25">
      <c r="C88" s="50" t="s">
        <v>78</v>
      </c>
    </row>
    <row r="90" spans="1:8" ht="18.75" x14ac:dyDescent="0.3">
      <c r="A90" s="4" t="s">
        <v>62</v>
      </c>
      <c r="B90" s="4" t="str">
        <f>B10</f>
        <v>GTS calculates the plan capacity for telemetry end users</v>
      </c>
    </row>
    <row r="92" spans="1:8" ht="17.25" x14ac:dyDescent="0.25">
      <c r="C92" s="6" t="s">
        <v>79</v>
      </c>
      <c r="D92" s="47" t="s">
        <v>1</v>
      </c>
    </row>
    <row r="93" spans="1:8" x14ac:dyDescent="0.25">
      <c r="A93" s="48" t="s">
        <v>80</v>
      </c>
      <c r="B93" s="6"/>
      <c r="C93" s="49">
        <v>1900000</v>
      </c>
      <c r="D93" s="49">
        <f>C93*35.17/3.6</f>
        <v>18561944.444444444</v>
      </c>
      <c r="F93" s="56"/>
    </row>
    <row r="96" spans="1:8" s="23" customFormat="1" x14ac:dyDescent="0.25"/>
    <row r="97" spans="1:9" ht="21" x14ac:dyDescent="0.35">
      <c r="A97" s="12"/>
    </row>
    <row r="98" spans="1:9" ht="18.75" x14ac:dyDescent="0.3">
      <c r="A98" s="4"/>
    </row>
    <row r="99" spans="1:9" ht="18.75" x14ac:dyDescent="0.3">
      <c r="A99" s="4" t="s">
        <v>81</v>
      </c>
    </row>
    <row r="100" spans="1:9" s="25" customFormat="1" ht="15.75" x14ac:dyDescent="0.25">
      <c r="A100" t="s">
        <v>50</v>
      </c>
      <c r="B100" t="s">
        <v>82</v>
      </c>
      <c r="F100" s="5"/>
    </row>
    <row r="101" spans="1:9" s="25" customFormat="1" ht="15.75" x14ac:dyDescent="0.25">
      <c r="A101" t="s">
        <v>52</v>
      </c>
      <c r="B101" t="s">
        <v>83</v>
      </c>
      <c r="F101" s="5"/>
    </row>
    <row r="102" spans="1:9" s="25" customFormat="1" ht="15.75" x14ac:dyDescent="0.25">
      <c r="A102" t="s">
        <v>54</v>
      </c>
      <c r="B102" t="s">
        <v>84</v>
      </c>
      <c r="F102" s="5"/>
    </row>
    <row r="103" spans="1:9" x14ac:dyDescent="0.25">
      <c r="A103" t="s">
        <v>56</v>
      </c>
      <c r="B103" t="s">
        <v>85</v>
      </c>
    </row>
    <row r="104" spans="1:9" x14ac:dyDescent="0.25">
      <c r="A104" t="s">
        <v>59</v>
      </c>
      <c r="B104" t="s">
        <v>86</v>
      </c>
      <c r="I104" s="5"/>
    </row>
    <row r="105" spans="1:9" x14ac:dyDescent="0.25">
      <c r="B105" t="s">
        <v>87</v>
      </c>
      <c r="I105" s="5"/>
    </row>
    <row r="106" spans="1:9" x14ac:dyDescent="0.25">
      <c r="A106" t="s">
        <v>62</v>
      </c>
      <c r="B106" t="s">
        <v>88</v>
      </c>
    </row>
    <row r="108" spans="1:9" ht="15.75" x14ac:dyDescent="0.25">
      <c r="A108" s="25"/>
    </row>
    <row r="109" spans="1:9" ht="19.5" thickBot="1" x14ac:dyDescent="0.35">
      <c r="A109" s="4" t="s">
        <v>50</v>
      </c>
      <c r="B109" s="4" t="str">
        <f>B100</f>
        <v>GTS calculates each month the total market max. usage for telemetry end users based on OV-exit data received from DSO's</v>
      </c>
      <c r="G109" s="5"/>
    </row>
    <row r="110" spans="1:9" ht="15.75" thickBot="1" x14ac:dyDescent="0.3">
      <c r="C110" s="16"/>
    </row>
    <row r="111" spans="1:9" x14ac:dyDescent="0.25">
      <c r="A111" s="39" t="s">
        <v>41</v>
      </c>
      <c r="B111" s="34" t="s">
        <v>68</v>
      </c>
      <c r="C111" s="19"/>
      <c r="D111" s="31" t="s">
        <v>89</v>
      </c>
    </row>
    <row r="112" spans="1:9" x14ac:dyDescent="0.25">
      <c r="A112" s="18" t="s">
        <v>16</v>
      </c>
      <c r="B112" s="156">
        <v>19865947</v>
      </c>
      <c r="C112" s="19"/>
      <c r="D112" s="66" t="s">
        <v>90</v>
      </c>
    </row>
    <row r="113" spans="1:7" x14ac:dyDescent="0.25">
      <c r="A113" s="18" t="s">
        <v>18</v>
      </c>
      <c r="B113" s="156">
        <v>20567467</v>
      </c>
      <c r="C113" s="19"/>
      <c r="D113" s="158" t="s">
        <v>91</v>
      </c>
    </row>
    <row r="114" spans="1:7" x14ac:dyDescent="0.25">
      <c r="A114" s="18" t="s">
        <v>20</v>
      </c>
      <c r="B114" s="156">
        <v>20196868</v>
      </c>
      <c r="C114" s="19"/>
      <c r="D114" s="19"/>
    </row>
    <row r="115" spans="1:7" x14ac:dyDescent="0.25">
      <c r="A115" s="18" t="s">
        <v>22</v>
      </c>
      <c r="B115" s="156">
        <v>20189915</v>
      </c>
      <c r="C115" s="19"/>
      <c r="D115" s="19"/>
    </row>
    <row r="116" spans="1:7" x14ac:dyDescent="0.25">
      <c r="A116" s="18" t="s">
        <v>24</v>
      </c>
      <c r="B116" s="156">
        <v>20173530</v>
      </c>
      <c r="C116" s="19"/>
      <c r="D116" s="19"/>
    </row>
    <row r="117" spans="1:7" x14ac:dyDescent="0.25">
      <c r="A117" s="18" t="s">
        <v>25</v>
      </c>
      <c r="B117" s="156">
        <v>20150839</v>
      </c>
      <c r="C117" s="19"/>
      <c r="D117" s="19"/>
    </row>
    <row r="118" spans="1:7" x14ac:dyDescent="0.25">
      <c r="A118" s="18" t="s">
        <v>26</v>
      </c>
      <c r="B118" s="156">
        <v>20128112</v>
      </c>
      <c r="C118" s="19"/>
      <c r="D118" s="19"/>
    </row>
    <row r="119" spans="1:7" x14ac:dyDescent="0.25">
      <c r="A119" s="18" t="s">
        <v>28</v>
      </c>
      <c r="B119" s="156">
        <v>20114143</v>
      </c>
      <c r="C119" s="19"/>
      <c r="D119" s="19"/>
    </row>
    <row r="120" spans="1:7" x14ac:dyDescent="0.25">
      <c r="A120" s="18" t="s">
        <v>30</v>
      </c>
      <c r="B120" s="156">
        <v>20109241</v>
      </c>
      <c r="C120" s="19"/>
      <c r="D120" s="19"/>
    </row>
    <row r="121" spans="1:7" x14ac:dyDescent="0.25">
      <c r="A121" s="18" t="s">
        <v>32</v>
      </c>
      <c r="B121" s="156">
        <v>20105530</v>
      </c>
      <c r="C121" s="19"/>
      <c r="D121" s="19"/>
    </row>
    <row r="122" spans="1:7" x14ac:dyDescent="0.25">
      <c r="A122" s="18" t="s">
        <v>34</v>
      </c>
      <c r="B122" s="156">
        <v>20087650</v>
      </c>
      <c r="C122" s="19"/>
      <c r="D122" s="19"/>
    </row>
    <row r="123" spans="1:7" x14ac:dyDescent="0.25">
      <c r="A123" s="18" t="s">
        <v>35</v>
      </c>
      <c r="B123" s="156">
        <v>20079442</v>
      </c>
      <c r="D123" s="19"/>
    </row>
    <row r="125" spans="1:7" ht="15.75" x14ac:dyDescent="0.25">
      <c r="A125" s="25"/>
    </row>
    <row r="126" spans="1:7" ht="18.75" x14ac:dyDescent="0.3">
      <c r="A126" s="4" t="s">
        <v>52</v>
      </c>
      <c r="B126" s="4" t="str">
        <f>B101</f>
        <v>GTS calculates each month a new Fit factor : Plan capacity telemetry end users / Sum of max. usage telemetry end users</v>
      </c>
      <c r="G126" s="5"/>
    </row>
    <row r="128" spans="1:7" x14ac:dyDescent="0.25">
      <c r="A128" s="39" t="s">
        <v>41</v>
      </c>
      <c r="B128" s="46" t="s">
        <v>92</v>
      </c>
    </row>
    <row r="129" spans="1:4" x14ac:dyDescent="0.25">
      <c r="A129" s="18" t="s">
        <v>16</v>
      </c>
      <c r="B129" s="154">
        <f t="shared" ref="B129:B140" si="8">ROUND($D$93/B112,2)</f>
        <v>0.93</v>
      </c>
      <c r="D129" s="31" t="s">
        <v>89</v>
      </c>
    </row>
    <row r="130" spans="1:4" ht="15" customHeight="1" x14ac:dyDescent="0.25">
      <c r="A130" s="18" t="s">
        <v>18</v>
      </c>
      <c r="B130" s="154">
        <f t="shared" si="8"/>
        <v>0.9</v>
      </c>
      <c r="D130" s="66" t="s">
        <v>90</v>
      </c>
    </row>
    <row r="131" spans="1:4" x14ac:dyDescent="0.25">
      <c r="A131" s="18" t="s">
        <v>20</v>
      </c>
      <c r="B131" s="154">
        <f>ROUND($D$93/B114,2)</f>
        <v>0.92</v>
      </c>
      <c r="D131" s="158" t="s">
        <v>91</v>
      </c>
    </row>
    <row r="132" spans="1:4" x14ac:dyDescent="0.25">
      <c r="A132" s="18" t="s">
        <v>22</v>
      </c>
      <c r="B132" s="154">
        <f t="shared" si="8"/>
        <v>0.92</v>
      </c>
    </row>
    <row r="133" spans="1:4" x14ac:dyDescent="0.25">
      <c r="A133" s="18" t="s">
        <v>24</v>
      </c>
      <c r="B133" s="154">
        <f t="shared" si="8"/>
        <v>0.92</v>
      </c>
    </row>
    <row r="134" spans="1:4" x14ac:dyDescent="0.25">
      <c r="A134" s="18" t="s">
        <v>25</v>
      </c>
      <c r="B134" s="154">
        <f t="shared" si="8"/>
        <v>0.92</v>
      </c>
    </row>
    <row r="135" spans="1:4" x14ac:dyDescent="0.25">
      <c r="A135" s="18" t="s">
        <v>26</v>
      </c>
      <c r="B135" s="154">
        <f t="shared" si="8"/>
        <v>0.92</v>
      </c>
    </row>
    <row r="136" spans="1:4" x14ac:dyDescent="0.25">
      <c r="A136" s="18" t="s">
        <v>28</v>
      </c>
      <c r="B136" s="154">
        <f t="shared" si="8"/>
        <v>0.92</v>
      </c>
    </row>
    <row r="137" spans="1:4" x14ac:dyDescent="0.25">
      <c r="A137" s="18" t="s">
        <v>30</v>
      </c>
      <c r="B137" s="154">
        <f t="shared" si="8"/>
        <v>0.92</v>
      </c>
    </row>
    <row r="138" spans="1:4" x14ac:dyDescent="0.25">
      <c r="A138" s="18" t="s">
        <v>32</v>
      </c>
      <c r="B138" s="154">
        <f t="shared" si="8"/>
        <v>0.92</v>
      </c>
    </row>
    <row r="139" spans="1:4" x14ac:dyDescent="0.25">
      <c r="A139" s="18" t="s">
        <v>34</v>
      </c>
      <c r="B139" s="154">
        <f t="shared" si="8"/>
        <v>0.92</v>
      </c>
    </row>
    <row r="140" spans="1:4" x14ac:dyDescent="0.25">
      <c r="A140" s="18" t="s">
        <v>35</v>
      </c>
      <c r="B140" s="154">
        <f t="shared" si="8"/>
        <v>0.92</v>
      </c>
    </row>
    <row r="141" spans="1:4" x14ac:dyDescent="0.25">
      <c r="B141" s="24"/>
    </row>
    <row r="142" spans="1:4" ht="15.75" x14ac:dyDescent="0.25">
      <c r="A142" s="25"/>
    </row>
    <row r="143" spans="1:4" ht="18.75" x14ac:dyDescent="0.3">
      <c r="A143" s="4" t="s">
        <v>54</v>
      </c>
      <c r="B143" s="4" t="str">
        <f>B102</f>
        <v>GTS and shipper receive each month OV-exit data with an update of the max. usages per shipper of the two category types (GXX and GGV)</v>
      </c>
    </row>
    <row r="145" spans="1:4" x14ac:dyDescent="0.25">
      <c r="A145" s="39" t="s">
        <v>41</v>
      </c>
      <c r="B145" s="46" t="s">
        <v>93</v>
      </c>
    </row>
    <row r="146" spans="1:4" x14ac:dyDescent="0.25">
      <c r="A146" s="18" t="s">
        <v>16</v>
      </c>
      <c r="B146" s="130">
        <v>1</v>
      </c>
      <c r="D146" s="82" t="s">
        <v>17</v>
      </c>
    </row>
    <row r="147" spans="1:4" ht="15" customHeight="1" x14ac:dyDescent="0.25">
      <c r="A147" s="18" t="s">
        <v>18</v>
      </c>
      <c r="B147" s="130">
        <v>1</v>
      </c>
    </row>
    <row r="148" spans="1:4" x14ac:dyDescent="0.25">
      <c r="A148" s="18" t="s">
        <v>20</v>
      </c>
      <c r="B148" s="130">
        <v>1</v>
      </c>
    </row>
    <row r="149" spans="1:4" x14ac:dyDescent="0.25">
      <c r="A149" s="18" t="s">
        <v>22</v>
      </c>
      <c r="B149" s="130">
        <v>1</v>
      </c>
    </row>
    <row r="150" spans="1:4" x14ac:dyDescent="0.25">
      <c r="A150" s="18" t="s">
        <v>24</v>
      </c>
      <c r="B150" s="130">
        <v>1</v>
      </c>
    </row>
    <row r="151" spans="1:4" x14ac:dyDescent="0.25">
      <c r="A151" s="18" t="s">
        <v>25</v>
      </c>
      <c r="B151" s="130">
        <v>1</v>
      </c>
    </row>
    <row r="152" spans="1:4" x14ac:dyDescent="0.25">
      <c r="A152" s="18" t="s">
        <v>26</v>
      </c>
      <c r="B152" s="130">
        <v>1</v>
      </c>
    </row>
    <row r="153" spans="1:4" x14ac:dyDescent="0.25">
      <c r="A153" s="18" t="s">
        <v>28</v>
      </c>
      <c r="B153" s="130">
        <v>1</v>
      </c>
    </row>
    <row r="154" spans="1:4" x14ac:dyDescent="0.25">
      <c r="A154" s="18" t="s">
        <v>30</v>
      </c>
      <c r="B154" s="130">
        <v>1</v>
      </c>
    </row>
    <row r="155" spans="1:4" x14ac:dyDescent="0.25">
      <c r="A155" s="18" t="s">
        <v>32</v>
      </c>
      <c r="B155" s="130">
        <v>1</v>
      </c>
    </row>
    <row r="156" spans="1:4" x14ac:dyDescent="0.25">
      <c r="A156" s="18" t="s">
        <v>34</v>
      </c>
      <c r="B156" s="130">
        <v>1</v>
      </c>
    </row>
    <row r="157" spans="1:4" x14ac:dyDescent="0.25">
      <c r="A157" s="18" t="s">
        <v>35</v>
      </c>
      <c r="B157" s="130">
        <v>1</v>
      </c>
    </row>
    <row r="158" spans="1:4" x14ac:dyDescent="0.25">
      <c r="B158" s="50"/>
    </row>
    <row r="159" spans="1:4" ht="15.75" x14ac:dyDescent="0.25">
      <c r="A159" s="25"/>
    </row>
    <row r="160" spans="1:4" ht="18.75" x14ac:dyDescent="0.3">
      <c r="A160" s="4" t="s">
        <v>56</v>
      </c>
      <c r="B160" s="4" t="str">
        <f>B103</f>
        <v>The shipper capacity can be calculated through: Capacity = Max. usage * Profile factor * Fit factor telemetry</v>
      </c>
    </row>
    <row r="161" spans="1:2" ht="18.75" x14ac:dyDescent="0.3">
      <c r="A161" s="4"/>
    </row>
    <row r="162" spans="1:2" x14ac:dyDescent="0.25">
      <c r="A162" s="39" t="s">
        <v>41</v>
      </c>
      <c r="B162" s="46" t="s">
        <v>94</v>
      </c>
    </row>
    <row r="163" spans="1:2" x14ac:dyDescent="0.25">
      <c r="A163" s="18" t="s">
        <v>16</v>
      </c>
      <c r="B163" s="132">
        <f t="shared" ref="B163:B174" si="9">B146*B129*B22</f>
        <v>0.93</v>
      </c>
    </row>
    <row r="164" spans="1:2" ht="15" customHeight="1" x14ac:dyDescent="0.25">
      <c r="A164" s="18" t="s">
        <v>18</v>
      </c>
      <c r="B164" s="132">
        <f t="shared" si="9"/>
        <v>0.9</v>
      </c>
    </row>
    <row r="165" spans="1:2" x14ac:dyDescent="0.25">
      <c r="A165" s="18" t="s">
        <v>20</v>
      </c>
      <c r="B165" s="132">
        <f t="shared" si="9"/>
        <v>0.7360000000000001</v>
      </c>
    </row>
    <row r="166" spans="1:2" x14ac:dyDescent="0.25">
      <c r="A166" s="18" t="s">
        <v>22</v>
      </c>
      <c r="B166" s="132">
        <f>B149*B132*B25</f>
        <v>0.64400000000000002</v>
      </c>
    </row>
    <row r="167" spans="1:2" x14ac:dyDescent="0.25">
      <c r="A167" s="18" t="s">
        <v>24</v>
      </c>
      <c r="B167" s="132">
        <f t="shared" si="9"/>
        <v>0.5796</v>
      </c>
    </row>
    <row r="168" spans="1:2" x14ac:dyDescent="0.25">
      <c r="A168" s="18" t="s">
        <v>25</v>
      </c>
      <c r="B168" s="132">
        <f t="shared" si="9"/>
        <v>0.50600000000000012</v>
      </c>
    </row>
    <row r="169" spans="1:2" x14ac:dyDescent="0.25">
      <c r="A169" s="18" t="s">
        <v>26</v>
      </c>
      <c r="B169" s="132">
        <f t="shared" si="9"/>
        <v>0.46</v>
      </c>
    </row>
    <row r="170" spans="1:2" x14ac:dyDescent="0.25">
      <c r="A170" s="18" t="s">
        <v>28</v>
      </c>
      <c r="B170" s="132">
        <f t="shared" si="9"/>
        <v>0.46</v>
      </c>
    </row>
    <row r="171" spans="1:2" x14ac:dyDescent="0.25">
      <c r="A171" s="18" t="s">
        <v>30</v>
      </c>
      <c r="B171" s="132">
        <f t="shared" si="9"/>
        <v>0.52439999999999998</v>
      </c>
    </row>
    <row r="172" spans="1:2" x14ac:dyDescent="0.25">
      <c r="A172" s="18" t="s">
        <v>32</v>
      </c>
      <c r="B172" s="132">
        <f t="shared" si="9"/>
        <v>0.62560000000000004</v>
      </c>
    </row>
    <row r="173" spans="1:2" x14ac:dyDescent="0.25">
      <c r="A173" s="18" t="s">
        <v>34</v>
      </c>
      <c r="B173" s="132">
        <f t="shared" si="9"/>
        <v>0.7360000000000001</v>
      </c>
    </row>
    <row r="174" spans="1:2" x14ac:dyDescent="0.25">
      <c r="A174" s="18" t="s">
        <v>35</v>
      </c>
      <c r="B174" s="132">
        <f t="shared" si="9"/>
        <v>0.92</v>
      </c>
    </row>
    <row r="176" spans="1:2" x14ac:dyDescent="0.25">
      <c r="B176" s="24"/>
    </row>
    <row r="177" spans="1:14" ht="18.75" x14ac:dyDescent="0.3">
      <c r="A177" s="28" t="s">
        <v>59</v>
      </c>
      <c r="B177" s="4" t="str">
        <f>B104</f>
        <v xml:space="preserve">The determined total monthly capacity for shipper will be converted to standard capacity products using the Split factors and the Booking factor, e.g. Year product = Capacity * Split factor Year * Booking factor. </v>
      </c>
    </row>
    <row r="178" spans="1:14" ht="18.75" x14ac:dyDescent="0.3">
      <c r="B178" s="4" t="str">
        <f>B105</f>
        <v>These products will be contracted</v>
      </c>
      <c r="C178" s="30"/>
    </row>
    <row r="180" spans="1:14" x14ac:dyDescent="0.25">
      <c r="A180" s="8"/>
      <c r="B180" s="181" t="s">
        <v>95</v>
      </c>
      <c r="C180" s="182"/>
      <c r="D180" s="183"/>
    </row>
    <row r="181" spans="1:14" ht="15.75" thickBot="1" x14ac:dyDescent="0.3">
      <c r="A181" s="32" t="s">
        <v>41</v>
      </c>
      <c r="B181" s="33" t="s">
        <v>70</v>
      </c>
      <c r="C181" s="33" t="s">
        <v>71</v>
      </c>
      <c r="D181" s="33" t="s">
        <v>72</v>
      </c>
      <c r="N181" s="7"/>
    </row>
    <row r="182" spans="1:14" x14ac:dyDescent="0.25">
      <c r="A182" s="8" t="s">
        <v>16</v>
      </c>
      <c r="B182" s="53">
        <f t="shared" ref="B182:B193" si="10">B163*C76*H76</f>
        <v>0.58590000000000009</v>
      </c>
      <c r="C182" s="53">
        <f t="shared" ref="C182:C193" si="11">B163*D76*H76</f>
        <v>0.15809999999999999</v>
      </c>
      <c r="D182" s="53">
        <f t="shared" ref="D182:D193" si="12">B163*E76*H76</f>
        <v>0.18599999999999997</v>
      </c>
    </row>
    <row r="183" spans="1:14" x14ac:dyDescent="0.25">
      <c r="A183" s="8" t="s">
        <v>18</v>
      </c>
      <c r="B183" s="53">
        <f t="shared" si="10"/>
        <v>0.56700000000000006</v>
      </c>
      <c r="C183" s="53">
        <f t="shared" si="11"/>
        <v>0.153</v>
      </c>
      <c r="D183" s="53">
        <f t="shared" si="12"/>
        <v>0.17999999999999997</v>
      </c>
    </row>
    <row r="184" spans="1:14" x14ac:dyDescent="0.25">
      <c r="A184" s="8" t="s">
        <v>20</v>
      </c>
      <c r="B184" s="53">
        <f t="shared" si="10"/>
        <v>0.57960000000000012</v>
      </c>
      <c r="C184" s="53">
        <f t="shared" si="11"/>
        <v>0.15640000000000001</v>
      </c>
      <c r="D184" s="53">
        <f t="shared" si="12"/>
        <v>0</v>
      </c>
    </row>
    <row r="185" spans="1:14" x14ac:dyDescent="0.25">
      <c r="A185" s="8" t="s">
        <v>22</v>
      </c>
      <c r="B185" s="53">
        <f t="shared" si="10"/>
        <v>0.57960000000000012</v>
      </c>
      <c r="C185" s="53">
        <f t="shared" si="11"/>
        <v>0</v>
      </c>
      <c r="D185" s="53">
        <f t="shared" si="12"/>
        <v>6.439999999999993E-2</v>
      </c>
    </row>
    <row r="186" spans="1:14" x14ac:dyDescent="0.25">
      <c r="A186" s="8" t="s">
        <v>24</v>
      </c>
      <c r="B186" s="53">
        <f t="shared" si="10"/>
        <v>0.5796</v>
      </c>
      <c r="C186" s="53">
        <f t="shared" si="11"/>
        <v>0</v>
      </c>
      <c r="D186" s="53">
        <f t="shared" si="12"/>
        <v>0</v>
      </c>
    </row>
    <row r="187" spans="1:14" x14ac:dyDescent="0.25">
      <c r="A187" s="8" t="s">
        <v>25</v>
      </c>
      <c r="B187" s="53">
        <f t="shared" si="10"/>
        <v>0.57960000000000012</v>
      </c>
      <c r="C187" s="53">
        <f t="shared" si="11"/>
        <v>0</v>
      </c>
      <c r="D187" s="53">
        <f t="shared" si="12"/>
        <v>0</v>
      </c>
    </row>
    <row r="188" spans="1:14" x14ac:dyDescent="0.25">
      <c r="A188" s="8" t="s">
        <v>26</v>
      </c>
      <c r="B188" s="53">
        <f t="shared" si="10"/>
        <v>0.5796</v>
      </c>
      <c r="C188" s="53">
        <f t="shared" si="11"/>
        <v>0</v>
      </c>
      <c r="D188" s="53">
        <f t="shared" si="12"/>
        <v>0</v>
      </c>
    </row>
    <row r="189" spans="1:14" x14ac:dyDescent="0.25">
      <c r="A189" s="8" t="s">
        <v>28</v>
      </c>
      <c r="B189" s="53">
        <f t="shared" si="10"/>
        <v>0.5796</v>
      </c>
      <c r="C189" s="53">
        <f t="shared" si="11"/>
        <v>0</v>
      </c>
      <c r="D189" s="53">
        <f t="shared" si="12"/>
        <v>0</v>
      </c>
    </row>
    <row r="190" spans="1:14" x14ac:dyDescent="0.25">
      <c r="A190" s="8" t="s">
        <v>30</v>
      </c>
      <c r="B190" s="53">
        <f t="shared" si="10"/>
        <v>0.57960000000000012</v>
      </c>
      <c r="C190" s="53">
        <f t="shared" si="11"/>
        <v>0</v>
      </c>
      <c r="D190" s="53">
        <f t="shared" si="12"/>
        <v>0</v>
      </c>
    </row>
    <row r="191" spans="1:14" x14ac:dyDescent="0.25">
      <c r="A191" s="8" t="s">
        <v>32</v>
      </c>
      <c r="B191" s="53">
        <f t="shared" si="10"/>
        <v>0.5796</v>
      </c>
      <c r="C191" s="53">
        <f t="shared" si="11"/>
        <v>4.6000000000000034E-2</v>
      </c>
      <c r="D191" s="53">
        <f t="shared" si="12"/>
        <v>0</v>
      </c>
    </row>
    <row r="192" spans="1:14" x14ac:dyDescent="0.25">
      <c r="A192" s="8" t="s">
        <v>34</v>
      </c>
      <c r="B192" s="53">
        <f t="shared" si="10"/>
        <v>0.57960000000000012</v>
      </c>
      <c r="C192" s="53">
        <f t="shared" si="11"/>
        <v>4.6000000000000034E-2</v>
      </c>
      <c r="D192" s="53">
        <f t="shared" si="12"/>
        <v>0.11039999999999997</v>
      </c>
    </row>
    <row r="193" spans="1:15" x14ac:dyDescent="0.25">
      <c r="A193" s="8" t="s">
        <v>35</v>
      </c>
      <c r="B193" s="53">
        <f t="shared" si="10"/>
        <v>0.5796</v>
      </c>
      <c r="C193" s="53">
        <f t="shared" si="11"/>
        <v>4.6000000000000034E-2</v>
      </c>
      <c r="D193" s="53">
        <f t="shared" si="12"/>
        <v>0.29439999999999994</v>
      </c>
    </row>
    <row r="196" spans="1:15" ht="18.75" x14ac:dyDescent="0.3">
      <c r="A196" s="28" t="s">
        <v>62</v>
      </c>
      <c r="B196" s="4" t="str">
        <f>B106</f>
        <v>Based on the standard capacity products the costs per month can be calculated</v>
      </c>
    </row>
    <row r="198" spans="1:15" x14ac:dyDescent="0.25">
      <c r="A198" s="8"/>
      <c r="B198" s="181" t="s">
        <v>96</v>
      </c>
      <c r="C198" s="182"/>
      <c r="D198" s="182"/>
      <c r="E198" s="183"/>
    </row>
    <row r="199" spans="1:15" ht="15.75" thickBot="1" x14ac:dyDescent="0.3">
      <c r="A199" s="32" t="s">
        <v>41</v>
      </c>
      <c r="B199" s="33" t="s">
        <v>70</v>
      </c>
      <c r="C199" s="33" t="s">
        <v>71</v>
      </c>
      <c r="D199" s="33" t="s">
        <v>72</v>
      </c>
      <c r="E199" s="34" t="s">
        <v>97</v>
      </c>
      <c r="O199" s="7"/>
    </row>
    <row r="200" spans="1:15" x14ac:dyDescent="0.25">
      <c r="A200" s="8" t="s">
        <v>16</v>
      </c>
      <c r="B200" s="54">
        <f>B182*Tariffs!B6*Tariffs!E6/Tariffs!G6</f>
        <v>0.10855579343562297</v>
      </c>
      <c r="C200" s="54">
        <f>C182*Tariffs!C6*Tariffs!E6/Tariffs!F6</f>
        <v>5.6864712221010992E-2</v>
      </c>
      <c r="D200" s="54">
        <f>D182*Tariffs!D6</f>
        <v>9.2272423799999989E-2</v>
      </c>
      <c r="E200" s="54">
        <f>SUM(B200:D200)</f>
        <v>0.25769292945663397</v>
      </c>
    </row>
    <row r="201" spans="1:15" x14ac:dyDescent="0.25">
      <c r="A201" s="8" t="s">
        <v>18</v>
      </c>
      <c r="B201" s="54">
        <f>B183*Tariffs!B7*Tariffs!E7/Tariffs!G7</f>
        <v>9.8276316637868871E-2</v>
      </c>
      <c r="C201" s="54">
        <f>C183*Tariffs!C7*Tariffs!E7/Tariffs!F7</f>
        <v>5.1480020429010995E-2</v>
      </c>
      <c r="D201" s="54">
        <f>D183*Tariffs!D7</f>
        <v>7.8012676799999986E-2</v>
      </c>
      <c r="E201" s="54">
        <f t="shared" ref="E201:E209" si="13">SUM(B201:D201)</f>
        <v>0.22776901386687984</v>
      </c>
    </row>
    <row r="202" spans="1:15" x14ac:dyDescent="0.25">
      <c r="A202" s="8" t="s">
        <v>20</v>
      </c>
      <c r="B202" s="54">
        <f>B184*Tariffs!B8*Tariffs!E8/Tariffs!G8</f>
        <v>0.10738852683954102</v>
      </c>
      <c r="C202" s="54">
        <f>C184*Tariffs!C8*Tariffs!E8/Tariffs!F8</f>
        <v>5.6253263702505503E-2</v>
      </c>
      <c r="D202" s="54">
        <f>D184*Tariffs!D8</f>
        <v>0</v>
      </c>
      <c r="E202" s="54">
        <f>SUM(B202:D202)</f>
        <v>0.16364179054204653</v>
      </c>
    </row>
    <row r="203" spans="1:15" x14ac:dyDescent="0.25">
      <c r="A203" s="8" t="s">
        <v>22</v>
      </c>
      <c r="B203" s="54">
        <f>B185*Tariffs!B9*Tariffs!E9/Tariffs!G9</f>
        <v>0.10392438081245906</v>
      </c>
      <c r="C203" s="54">
        <f>C185*Tariffs!C9*Tariffs!E9/Tariffs!F9</f>
        <v>0</v>
      </c>
      <c r="D203" s="54">
        <f>D185*Tariffs!D9</f>
        <v>1.4878507167999983E-2</v>
      </c>
      <c r="E203" s="54">
        <f t="shared" si="13"/>
        <v>0.11880288798045904</v>
      </c>
    </row>
    <row r="204" spans="1:15" x14ac:dyDescent="0.25">
      <c r="A204" s="8" t="s">
        <v>24</v>
      </c>
      <c r="B204" s="54">
        <f>B186*Tariffs!B10*Tariffs!E10/Tariffs!G10</f>
        <v>0.107388526839541</v>
      </c>
      <c r="C204" s="54">
        <f>C186*Tariffs!C10*Tariffs!E10/Tariffs!F10</f>
        <v>0</v>
      </c>
      <c r="D204" s="54">
        <f>D186*Tariffs!D10</f>
        <v>0</v>
      </c>
      <c r="E204" s="54">
        <f t="shared" si="13"/>
        <v>0.107388526839541</v>
      </c>
    </row>
    <row r="205" spans="1:15" x14ac:dyDescent="0.25">
      <c r="A205" s="8" t="s">
        <v>25</v>
      </c>
      <c r="B205" s="54">
        <f>B187*Tariffs!B11*Tariffs!E11/Tariffs!G11</f>
        <v>0.10392438081245906</v>
      </c>
      <c r="C205" s="54">
        <f>C187*Tariffs!C11*Tariffs!E11/Tariffs!F11</f>
        <v>0</v>
      </c>
      <c r="D205" s="54">
        <f>D187*Tariffs!D11</f>
        <v>0</v>
      </c>
      <c r="E205" s="54">
        <f t="shared" si="13"/>
        <v>0.10392438081245906</v>
      </c>
    </row>
    <row r="206" spans="1:15" x14ac:dyDescent="0.25">
      <c r="A206" s="8" t="s">
        <v>26</v>
      </c>
      <c r="B206" s="54">
        <f>B188*Tariffs!B12*Tariffs!E12/Tariffs!G12</f>
        <v>0.107388526839541</v>
      </c>
      <c r="C206" s="54">
        <f>C188*Tariffs!C12*Tariffs!E12/Tariffs!F12</f>
        <v>0</v>
      </c>
      <c r="D206" s="54">
        <f>D188*Tariffs!D12</f>
        <v>0</v>
      </c>
      <c r="E206" s="54">
        <f t="shared" si="13"/>
        <v>0.107388526839541</v>
      </c>
    </row>
    <row r="207" spans="1:15" x14ac:dyDescent="0.25">
      <c r="A207" s="8" t="s">
        <v>28</v>
      </c>
      <c r="B207" s="54">
        <f>B189*Tariffs!B13*Tariffs!E13/Tariffs!G13</f>
        <v>0.107388526839541</v>
      </c>
      <c r="C207" s="54">
        <f>C189*Tariffs!C13*Tariffs!E13/Tariffs!F13</f>
        <v>0</v>
      </c>
      <c r="D207" s="54">
        <f>D189*Tariffs!D13</f>
        <v>0</v>
      </c>
      <c r="E207" s="54">
        <f t="shared" si="13"/>
        <v>0.107388526839541</v>
      </c>
    </row>
    <row r="208" spans="1:15" x14ac:dyDescent="0.25">
      <c r="A208" s="8" t="s">
        <v>30</v>
      </c>
      <c r="B208" s="54">
        <f>B190*Tariffs!B14*Tariffs!E14/Tariffs!G14</f>
        <v>0.10392438081245906</v>
      </c>
      <c r="C208" s="54">
        <f>C190*Tariffs!C14*Tariffs!E14/Tariffs!F14</f>
        <v>0</v>
      </c>
      <c r="D208" s="54">
        <f>D190*Tariffs!D14</f>
        <v>0</v>
      </c>
      <c r="E208" s="54">
        <f t="shared" si="13"/>
        <v>0.10392438081245906</v>
      </c>
    </row>
    <row r="209" spans="1:7" x14ac:dyDescent="0.25">
      <c r="A209" s="8" t="s">
        <v>32</v>
      </c>
      <c r="B209" s="54">
        <f>B191*Tariffs!B15*Tariffs!E15/Tariffs!G15</f>
        <v>0.107388526839541</v>
      </c>
      <c r="C209" s="54">
        <f>C191*Tariffs!C15*Tariffs!E15/Tariffs!F15</f>
        <v>1.2603236775000009E-2</v>
      </c>
      <c r="D209" s="54">
        <f>D191*Tariffs!D15</f>
        <v>0</v>
      </c>
      <c r="E209" s="54">
        <f t="shared" si="13"/>
        <v>0.11999176361454102</v>
      </c>
    </row>
    <row r="210" spans="1:7" x14ac:dyDescent="0.25">
      <c r="A210" s="8" t="s">
        <v>34</v>
      </c>
      <c r="B210" s="54">
        <f>B192*Tariffs!B16*Tariffs!E16/Tariffs!G16</f>
        <v>0.10392438081245906</v>
      </c>
      <c r="C210" s="54">
        <f>C192*Tariffs!C16*Tariffs!E16/Tariffs!F16</f>
        <v>1.2196680750000008E-2</v>
      </c>
      <c r="D210" s="54">
        <f>D192*Tariffs!D16</f>
        <v>3.5839064783999994E-2</v>
      </c>
      <c r="E210" s="54">
        <f>SUM(B210:D210)</f>
        <v>0.15196012634645906</v>
      </c>
    </row>
    <row r="211" spans="1:7" x14ac:dyDescent="0.25">
      <c r="A211" s="8" t="s">
        <v>35</v>
      </c>
      <c r="B211" s="54">
        <f>B193*Tariffs!B17*Tariffs!E17/Tariffs!G17</f>
        <v>0.107388526839541</v>
      </c>
      <c r="C211" s="54">
        <f>C193*Tariffs!C17*Tariffs!E17/Tariffs!F17</f>
        <v>1.2603236775000009E-2</v>
      </c>
      <c r="D211" s="54">
        <f>D193*Tariffs!D17</f>
        <v>0.13050262707199997</v>
      </c>
      <c r="E211" s="54">
        <f t="shared" ref="E211" si="14">SUM(B211:D211)</f>
        <v>0.250494390686541</v>
      </c>
    </row>
    <row r="212" spans="1:7" x14ac:dyDescent="0.25">
      <c r="E212" s="149">
        <f>SUM(E200:E211)</f>
        <v>1.8203672446371018</v>
      </c>
      <c r="G212" s="21"/>
    </row>
  </sheetData>
  <mergeCells count="3">
    <mergeCell ref="C74:E74"/>
    <mergeCell ref="B180:D180"/>
    <mergeCell ref="B198:E198"/>
  </mergeCells>
  <hyperlinks>
    <hyperlink ref="I7" r:id="rId1" xr:uid="{FCA43A94-97CB-4F52-B544-5BA475286728}"/>
  </hyperlinks>
  <pageMargins left="0.7" right="0.7" top="0.75" bottom="0.75" header="0.3" footer="0.3"/>
  <pageSetup paperSize="9" orientation="portrait" r:id="rId2"/>
  <headerFooter>
    <oddFooter>&amp;C_x000D_&amp;1#&amp;"Calibri"&amp;10&amp;K000000 Strikt Vertrouwelijk/Highly Confidential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35AB4-2D17-4059-ADED-FAE3EB9F9E7D}">
  <dimension ref="A1:O243"/>
  <sheetViews>
    <sheetView topLeftCell="A121" workbookViewId="0">
      <selection activeCell="H128" sqref="H128"/>
    </sheetView>
  </sheetViews>
  <sheetFormatPr defaultRowHeight="15" x14ac:dyDescent="0.25"/>
  <cols>
    <col min="1" max="1" width="20.7109375" customWidth="1"/>
    <col min="2" max="5" width="19.7109375" customWidth="1"/>
    <col min="6" max="6" width="16.28515625" customWidth="1"/>
    <col min="7" max="7" width="14.85546875" bestFit="1" customWidth="1"/>
    <col min="8" max="9" width="13.85546875" bestFit="1" customWidth="1"/>
    <col min="10" max="10" width="13.85546875" customWidth="1"/>
    <col min="13" max="13" width="13.85546875" customWidth="1"/>
    <col min="14" max="14" width="12" bestFit="1" customWidth="1"/>
  </cols>
  <sheetData>
    <row r="1" spans="1:13" ht="21" x14ac:dyDescent="0.35">
      <c r="A1" s="12" t="s">
        <v>98</v>
      </c>
    </row>
    <row r="2" spans="1:13" x14ac:dyDescent="0.25">
      <c r="A2" s="1"/>
    </row>
    <row r="3" spans="1:13" ht="18.75" x14ac:dyDescent="0.3">
      <c r="A3" s="4" t="s">
        <v>99</v>
      </c>
    </row>
    <row r="4" spans="1:13" s="25" customFormat="1" ht="15.75" x14ac:dyDescent="0.25">
      <c r="A4" t="s">
        <v>50</v>
      </c>
      <c r="B4" s="61" t="s">
        <v>100</v>
      </c>
      <c r="F4" s="5" t="s">
        <v>101</v>
      </c>
    </row>
    <row r="5" spans="1:13" s="25" customFormat="1" ht="15.75" x14ac:dyDescent="0.25">
      <c r="A5" t="s">
        <v>52</v>
      </c>
      <c r="B5" t="s">
        <v>102</v>
      </c>
      <c r="F5" s="5"/>
    </row>
    <row r="6" spans="1:13" x14ac:dyDescent="0.25">
      <c r="A6" t="s">
        <v>54</v>
      </c>
      <c r="B6" t="s">
        <v>103</v>
      </c>
    </row>
    <row r="7" spans="1:13" x14ac:dyDescent="0.25">
      <c r="A7" t="s">
        <v>56</v>
      </c>
      <c r="B7" t="s">
        <v>104</v>
      </c>
      <c r="I7" s="5" t="s">
        <v>58</v>
      </c>
    </row>
    <row r="8" spans="1:13" x14ac:dyDescent="0.25">
      <c r="A8" t="s">
        <v>59</v>
      </c>
      <c r="B8" t="s">
        <v>105</v>
      </c>
    </row>
    <row r="9" spans="1:13" x14ac:dyDescent="0.25">
      <c r="B9" t="s">
        <v>106</v>
      </c>
    </row>
    <row r="10" spans="1:13" x14ac:dyDescent="0.25">
      <c r="A10" t="s">
        <v>62</v>
      </c>
      <c r="B10" t="s">
        <v>107</v>
      </c>
      <c r="G10" s="5"/>
    </row>
    <row r="11" spans="1:13" s="25" customFormat="1" ht="15.75" x14ac:dyDescent="0.25"/>
    <row r="12" spans="1:13" ht="18.75" x14ac:dyDescent="0.3">
      <c r="A12" s="4" t="s">
        <v>50</v>
      </c>
      <c r="B12" s="4" t="str">
        <f>B4</f>
        <v>GTS calculates the maximum hourly fractions based on Verbruiksprofielen Gas</v>
      </c>
      <c r="G12" s="5"/>
    </row>
    <row r="13" spans="1:13" x14ac:dyDescent="0.25">
      <c r="A13" s="1"/>
      <c r="G13" s="1"/>
      <c r="J13" s="2"/>
      <c r="K13" s="2"/>
      <c r="L13" s="2"/>
      <c r="M13" s="2"/>
    </row>
    <row r="14" spans="1:13" ht="30" x14ac:dyDescent="0.25">
      <c r="A14" s="32" t="s">
        <v>41</v>
      </c>
      <c r="B14" s="35" t="s">
        <v>108</v>
      </c>
      <c r="C14" s="35" t="s">
        <v>109</v>
      </c>
      <c r="D14" s="35" t="s">
        <v>110</v>
      </c>
      <c r="E14" s="35" t="s">
        <v>111</v>
      </c>
      <c r="J14" s="2"/>
      <c r="K14" s="2"/>
      <c r="L14" s="2"/>
      <c r="M14" s="2"/>
    </row>
    <row r="15" spans="1:13" x14ac:dyDescent="0.25">
      <c r="A15" s="8" t="s">
        <v>16</v>
      </c>
      <c r="B15" s="135" t="s">
        <v>112</v>
      </c>
      <c r="C15" s="136">
        <v>5.5593737999999995E-4</v>
      </c>
      <c r="D15" s="136">
        <v>4.5479296000000005E-4</v>
      </c>
      <c r="E15" s="136">
        <v>6.2951296000000011E-4</v>
      </c>
      <c r="J15" s="2"/>
      <c r="K15" s="3"/>
      <c r="L15" s="2"/>
      <c r="M15" s="2"/>
    </row>
    <row r="16" spans="1:13" x14ac:dyDescent="0.25">
      <c r="A16" s="8" t="s">
        <v>18</v>
      </c>
      <c r="B16" s="135" t="s">
        <v>112</v>
      </c>
      <c r="C16" s="136">
        <v>5.5593737999999995E-4</v>
      </c>
      <c r="D16" s="136">
        <v>4.5479296000000005E-4</v>
      </c>
      <c r="E16" s="136">
        <v>6.2951296000000011E-4</v>
      </c>
      <c r="G16" s="19"/>
      <c r="H16" s="19"/>
      <c r="I16" s="19"/>
      <c r="J16" s="2"/>
      <c r="K16" s="3"/>
      <c r="L16" s="2"/>
      <c r="M16" s="2"/>
    </row>
    <row r="17" spans="1:13" x14ac:dyDescent="0.25">
      <c r="A17" s="8" t="s">
        <v>20</v>
      </c>
      <c r="B17" s="137">
        <v>-6</v>
      </c>
      <c r="C17" s="136">
        <v>4.7931738000000005E-4</v>
      </c>
      <c r="D17" s="136">
        <v>3.8927295999999998E-4</v>
      </c>
      <c r="E17" s="136">
        <v>3.8927295999999998E-4</v>
      </c>
      <c r="G17" s="19"/>
      <c r="H17" s="19"/>
      <c r="I17" s="19"/>
      <c r="J17" s="2"/>
      <c r="K17" s="3"/>
      <c r="L17" s="2"/>
      <c r="M17" s="2"/>
    </row>
    <row r="18" spans="1:13" x14ac:dyDescent="0.25">
      <c r="A18" s="8" t="s">
        <v>22</v>
      </c>
      <c r="B18" s="137">
        <v>-1</v>
      </c>
      <c r="C18" s="136">
        <v>3.5161738000000003E-4</v>
      </c>
      <c r="D18" s="136">
        <v>2.8007295999999998E-4</v>
      </c>
      <c r="E18" s="136">
        <v>2.8007295999999998E-4</v>
      </c>
      <c r="G18" s="19"/>
      <c r="H18" s="19"/>
      <c r="I18" s="19"/>
      <c r="J18" s="2"/>
      <c r="K18" s="3"/>
      <c r="L18" s="2"/>
      <c r="M18" s="2"/>
    </row>
    <row r="19" spans="1:13" x14ac:dyDescent="0.25">
      <c r="A19" s="8" t="s">
        <v>24</v>
      </c>
      <c r="B19" s="137">
        <v>3</v>
      </c>
      <c r="C19" s="136">
        <v>2.4945738000000002E-4</v>
      </c>
      <c r="D19" s="136">
        <v>2.0030128E-4</v>
      </c>
      <c r="E19" s="136">
        <v>2.0030128E-4</v>
      </c>
      <c r="G19" s="19"/>
      <c r="H19" s="19"/>
      <c r="I19" s="19"/>
      <c r="J19" s="2"/>
      <c r="K19" s="3"/>
      <c r="L19" s="2"/>
      <c r="M19" s="2"/>
    </row>
    <row r="20" spans="1:13" x14ac:dyDescent="0.25">
      <c r="A20" s="8" t="s">
        <v>25</v>
      </c>
      <c r="B20" s="137">
        <v>7</v>
      </c>
      <c r="C20" s="136">
        <v>1.4781243999999999E-4</v>
      </c>
      <c r="D20" s="136">
        <v>1.5058285000000001E-4</v>
      </c>
      <c r="E20" s="136">
        <v>1.5058285000000001E-4</v>
      </c>
      <c r="G20" s="19"/>
      <c r="H20" s="19"/>
      <c r="I20" s="19"/>
      <c r="J20" s="2"/>
      <c r="K20" s="3"/>
      <c r="L20" s="2"/>
      <c r="M20" s="2"/>
    </row>
    <row r="21" spans="1:13" x14ac:dyDescent="0.25">
      <c r="A21" s="8" t="s">
        <v>26</v>
      </c>
      <c r="B21" s="137">
        <v>10</v>
      </c>
      <c r="C21" s="136">
        <v>7.2992439999999985E-5</v>
      </c>
      <c r="D21" s="136">
        <v>1.1461285E-4</v>
      </c>
      <c r="E21" s="136">
        <v>1.1461285E-4</v>
      </c>
      <c r="G21" s="19"/>
      <c r="H21" s="19"/>
      <c r="I21" s="19"/>
      <c r="J21" s="2"/>
      <c r="K21" s="3"/>
      <c r="L21" s="2"/>
      <c r="M21" s="2"/>
    </row>
    <row r="22" spans="1:13" x14ac:dyDescent="0.25">
      <c r="A22" s="8" t="s">
        <v>28</v>
      </c>
      <c r="B22" s="137">
        <v>10</v>
      </c>
      <c r="C22" s="136">
        <v>7.2992439999999985E-5</v>
      </c>
      <c r="D22" s="136">
        <v>1.1461285E-4</v>
      </c>
      <c r="E22" s="136">
        <v>1.1461285E-4</v>
      </c>
      <c r="G22" s="19"/>
      <c r="H22" s="19"/>
      <c r="I22" s="19"/>
      <c r="J22" s="2"/>
      <c r="K22" s="3"/>
      <c r="L22" s="2"/>
      <c r="M22" s="2"/>
    </row>
    <row r="23" spans="1:13" x14ac:dyDescent="0.25">
      <c r="A23" s="8" t="s">
        <v>30</v>
      </c>
      <c r="B23" s="137">
        <v>6</v>
      </c>
      <c r="C23" s="136">
        <v>1.7283737999999998E-4</v>
      </c>
      <c r="D23" s="136">
        <v>1.6257285000000001E-4</v>
      </c>
      <c r="E23" s="136">
        <v>1.6257285000000001E-4</v>
      </c>
      <c r="G23" s="19"/>
      <c r="H23" s="19"/>
      <c r="I23" s="19"/>
      <c r="J23" s="2"/>
      <c r="K23" s="3"/>
      <c r="L23" s="2"/>
      <c r="M23" s="2"/>
    </row>
    <row r="24" spans="1:13" x14ac:dyDescent="0.25">
      <c r="A24" s="8" t="s">
        <v>32</v>
      </c>
      <c r="B24" s="137">
        <v>0</v>
      </c>
      <c r="C24" s="136">
        <v>3.2607738000000003E-4</v>
      </c>
      <c r="D24" s="136">
        <v>2.5823295999999996E-4</v>
      </c>
      <c r="E24" s="136">
        <v>2.5823295999999996E-4</v>
      </c>
      <c r="G24" s="19"/>
      <c r="H24" s="19"/>
      <c r="I24" s="19"/>
      <c r="J24" s="2"/>
      <c r="K24" s="3"/>
      <c r="L24" s="2"/>
      <c r="M24" s="2"/>
    </row>
    <row r="25" spans="1:13" x14ac:dyDescent="0.25">
      <c r="A25" s="8" t="s">
        <v>34</v>
      </c>
      <c r="B25" s="137">
        <v>-6</v>
      </c>
      <c r="C25" s="136">
        <v>4.7931738000000005E-4</v>
      </c>
      <c r="D25" s="136">
        <v>3.8927295999999998E-4</v>
      </c>
      <c r="E25" s="136">
        <v>3.8927295999999998E-4</v>
      </c>
      <c r="G25" s="19"/>
      <c r="H25" s="19"/>
      <c r="I25" s="19"/>
      <c r="J25" s="2"/>
      <c r="K25" s="3"/>
      <c r="L25" s="2"/>
      <c r="M25" s="2"/>
    </row>
    <row r="26" spans="1:13" x14ac:dyDescent="0.25">
      <c r="A26" s="8" t="s">
        <v>35</v>
      </c>
      <c r="B26" s="135" t="s">
        <v>112</v>
      </c>
      <c r="C26" s="136">
        <v>5.5593737999999995E-4</v>
      </c>
      <c r="D26" s="136">
        <v>4.5479296000000005E-4</v>
      </c>
      <c r="E26" s="136">
        <v>6.2951296000000011E-4</v>
      </c>
      <c r="G26" s="19"/>
      <c r="H26" s="19"/>
      <c r="I26" s="19"/>
      <c r="J26" s="2"/>
      <c r="K26" s="3"/>
      <c r="L26" s="2"/>
      <c r="M26" s="2"/>
    </row>
    <row r="27" spans="1:13" ht="15.75" x14ac:dyDescent="0.25">
      <c r="A27" s="25"/>
      <c r="B27" s="26"/>
      <c r="C27" s="27"/>
      <c r="D27" s="27"/>
      <c r="E27" s="27"/>
      <c r="G27" s="19"/>
      <c r="H27" s="19"/>
      <c r="I27" s="19"/>
      <c r="J27" s="2"/>
      <c r="K27" s="3"/>
      <c r="L27" s="2"/>
      <c r="M27" s="2"/>
    </row>
    <row r="28" spans="1:13" ht="15.75" x14ac:dyDescent="0.25">
      <c r="A28" s="25"/>
    </row>
    <row r="29" spans="1:13" ht="18.75" x14ac:dyDescent="0.3">
      <c r="A29" s="28" t="s">
        <v>52</v>
      </c>
      <c r="B29" s="4" t="str">
        <f>B5</f>
        <v>GTS calculates the yearly usage for the total market based on OV-exit data that GTS receives from the DSO's</v>
      </c>
    </row>
    <row r="30" spans="1:13" ht="18.75" x14ac:dyDescent="0.25">
      <c r="A30" s="28"/>
    </row>
    <row r="31" spans="1:13" ht="45" x14ac:dyDescent="0.25">
      <c r="B31" s="35" t="s">
        <v>113</v>
      </c>
      <c r="C31" s="35" t="s">
        <v>114</v>
      </c>
      <c r="D31" s="35" t="s">
        <v>115</v>
      </c>
      <c r="E31" s="2"/>
      <c r="F31" s="2"/>
      <c r="G31" s="2"/>
      <c r="H31" s="2"/>
    </row>
    <row r="32" spans="1:13" x14ac:dyDescent="0.25">
      <c r="B32" s="132">
        <v>71157555242</v>
      </c>
      <c r="C32" s="132">
        <v>14073310054</v>
      </c>
      <c r="D32" s="132">
        <v>10258243641</v>
      </c>
      <c r="E32" s="2"/>
      <c r="F32" s="56"/>
      <c r="G32" s="2"/>
      <c r="H32" s="2"/>
    </row>
    <row r="33" spans="1:8" x14ac:dyDescent="0.25">
      <c r="B33" s="2"/>
      <c r="C33" s="2"/>
      <c r="D33" s="19"/>
      <c r="E33" s="2"/>
      <c r="F33" s="3"/>
      <c r="G33" s="2"/>
      <c r="H33" s="2"/>
    </row>
    <row r="34" spans="1:8" x14ac:dyDescent="0.25">
      <c r="B34" s="2"/>
      <c r="C34" s="2"/>
      <c r="D34" s="19"/>
      <c r="E34" s="2"/>
      <c r="F34" s="3"/>
      <c r="G34" s="2"/>
      <c r="H34" s="2"/>
    </row>
    <row r="35" spans="1:8" ht="18.75" x14ac:dyDescent="0.3">
      <c r="A35" s="28" t="s">
        <v>54</v>
      </c>
      <c r="B35" s="4" t="str">
        <f>B6</f>
        <v>This calculated data is input for calculating the capacity profile for the total market for the next year</v>
      </c>
    </row>
    <row r="36" spans="1:8" ht="18.75" x14ac:dyDescent="0.3">
      <c r="A36" s="28"/>
      <c r="B36" s="4"/>
    </row>
    <row r="38" spans="1:8" x14ac:dyDescent="0.25">
      <c r="A38" s="34"/>
      <c r="B38" s="184" t="s">
        <v>116</v>
      </c>
      <c r="C38" s="185"/>
      <c r="D38" s="185"/>
      <c r="E38" s="186"/>
    </row>
    <row r="39" spans="1:8" x14ac:dyDescent="0.25">
      <c r="A39" s="32" t="s">
        <v>41</v>
      </c>
      <c r="B39" s="35" t="s">
        <v>117</v>
      </c>
      <c r="C39" s="35" t="s">
        <v>118</v>
      </c>
      <c r="D39" s="35" t="s">
        <v>119</v>
      </c>
      <c r="E39" s="35" t="s">
        <v>36</v>
      </c>
    </row>
    <row r="40" spans="1:8" x14ac:dyDescent="0.25">
      <c r="A40" s="32"/>
      <c r="B40" s="42" t="s">
        <v>1</v>
      </c>
      <c r="C40" s="42" t="s">
        <v>1</v>
      </c>
      <c r="D40" s="42" t="s">
        <v>1</v>
      </c>
      <c r="E40" s="42" t="s">
        <v>1</v>
      </c>
    </row>
    <row r="41" spans="1:8" x14ac:dyDescent="0.25">
      <c r="A41" s="8" t="s">
        <v>16</v>
      </c>
      <c r="B41" s="131">
        <f t="shared" ref="B41:B52" si="0">C15*$B$32</f>
        <v>39559144.828442745</v>
      </c>
      <c r="C41" s="131">
        <f t="shared" ref="C41:C52" si="1">D15*$C$32</f>
        <v>6400442.3364564208</v>
      </c>
      <c r="D41" s="131">
        <f t="shared" ref="D41:D52" si="2">E15*$D$32</f>
        <v>6457697.3188470881</v>
      </c>
      <c r="E41" s="131">
        <f>SUM(B41:D41)</f>
        <v>52417284.483746253</v>
      </c>
    </row>
    <row r="42" spans="1:8" x14ac:dyDescent="0.25">
      <c r="A42" s="8" t="s">
        <v>18</v>
      </c>
      <c r="B42" s="131">
        <f t="shared" si="0"/>
        <v>39559144.828442745</v>
      </c>
      <c r="C42" s="131">
        <f t="shared" si="1"/>
        <v>6400442.3364564208</v>
      </c>
      <c r="D42" s="131">
        <f t="shared" si="2"/>
        <v>6457697.3188470881</v>
      </c>
      <c r="E42" s="131">
        <f t="shared" ref="E42:E52" si="3">SUM(B42:D42)</f>
        <v>52417284.483746253</v>
      </c>
    </row>
    <row r="43" spans="1:8" x14ac:dyDescent="0.25">
      <c r="A43" s="8" t="s">
        <v>20</v>
      </c>
      <c r="B43" s="131">
        <f t="shared" si="0"/>
        <v>34107052.945800707</v>
      </c>
      <c r="C43" s="131">
        <f t="shared" si="1"/>
        <v>5478359.06171834</v>
      </c>
      <c r="D43" s="131">
        <f t="shared" si="2"/>
        <v>3993256.8665332473</v>
      </c>
      <c r="E43" s="131">
        <f t="shared" si="3"/>
        <v>43578668.874052294</v>
      </c>
    </row>
    <row r="44" spans="1:8" x14ac:dyDescent="0.25">
      <c r="A44" s="8" t="s">
        <v>22</v>
      </c>
      <c r="B44" s="131">
        <f t="shared" si="0"/>
        <v>25020233.141397309</v>
      </c>
      <c r="C44" s="131">
        <f t="shared" si="1"/>
        <v>3941553.6038215398</v>
      </c>
      <c r="D44" s="131">
        <f t="shared" si="2"/>
        <v>2873056.6609360473</v>
      </c>
      <c r="E44" s="131">
        <f t="shared" si="3"/>
        <v>31834843.406154893</v>
      </c>
    </row>
    <row r="45" spans="1:8" x14ac:dyDescent="0.25">
      <c r="A45" s="8" t="s">
        <v>24</v>
      </c>
      <c r="B45" s="131">
        <f t="shared" si="0"/>
        <v>17750777.297874589</v>
      </c>
      <c r="C45" s="131">
        <f t="shared" si="1"/>
        <v>2818902.017653069</v>
      </c>
      <c r="D45" s="131">
        <f t="shared" si="2"/>
        <v>2054739.3318441606</v>
      </c>
      <c r="E45" s="131">
        <f>SUM(B45:D45)</f>
        <v>22624418.647371821</v>
      </c>
    </row>
    <row r="46" spans="1:8" x14ac:dyDescent="0.25">
      <c r="A46" s="8" t="s">
        <v>25</v>
      </c>
      <c r="B46" s="131">
        <f t="shared" si="0"/>
        <v>10517971.864754809</v>
      </c>
      <c r="C46" s="131">
        <f t="shared" si="1"/>
        <v>2119199.1368649742</v>
      </c>
      <c r="D46" s="131">
        <f t="shared" si="2"/>
        <v>1544715.563456157</v>
      </c>
      <c r="E46" s="131">
        <f t="shared" si="3"/>
        <v>14181886.56507594</v>
      </c>
    </row>
    <row r="47" spans="1:8" x14ac:dyDescent="0.25">
      <c r="A47" s="8" t="s">
        <v>26</v>
      </c>
      <c r="B47" s="131">
        <f t="shared" si="0"/>
        <v>5193963.5815483695</v>
      </c>
      <c r="C47" s="131">
        <f t="shared" si="1"/>
        <v>1612982.1742225939</v>
      </c>
      <c r="D47" s="131">
        <f t="shared" si="2"/>
        <v>1175726.5396893867</v>
      </c>
      <c r="E47" s="131">
        <f t="shared" si="3"/>
        <v>7982672.2954603508</v>
      </c>
    </row>
    <row r="48" spans="1:8" x14ac:dyDescent="0.25">
      <c r="A48" s="8" t="s">
        <v>28</v>
      </c>
      <c r="B48" s="131">
        <f t="shared" si="0"/>
        <v>5193963.5815483695</v>
      </c>
      <c r="C48" s="131">
        <f t="shared" si="1"/>
        <v>1612982.1742225939</v>
      </c>
      <c r="D48" s="131">
        <f t="shared" si="2"/>
        <v>1175726.5396893867</v>
      </c>
      <c r="E48" s="131">
        <f t="shared" si="3"/>
        <v>7982672.2954603508</v>
      </c>
    </row>
    <row r="49" spans="1:15" x14ac:dyDescent="0.25">
      <c r="A49" s="8" t="s">
        <v>30</v>
      </c>
      <c r="B49" s="131">
        <f t="shared" si="0"/>
        <v>12298685.415232545</v>
      </c>
      <c r="C49" s="131">
        <f t="shared" si="1"/>
        <v>2287938.1244124342</v>
      </c>
      <c r="D49" s="131">
        <f t="shared" si="2"/>
        <v>1667711.9047117468</v>
      </c>
      <c r="E49" s="131">
        <f t="shared" si="3"/>
        <v>16254335.444356726</v>
      </c>
    </row>
    <row r="50" spans="1:15" x14ac:dyDescent="0.25">
      <c r="A50" s="8" t="s">
        <v>32</v>
      </c>
      <c r="B50" s="131">
        <f t="shared" si="0"/>
        <v>23202869.180516627</v>
      </c>
      <c r="C50" s="131">
        <f t="shared" si="1"/>
        <v>3634192.5122421794</v>
      </c>
      <c r="D50" s="131">
        <f t="shared" si="2"/>
        <v>2649016.6198166069</v>
      </c>
      <c r="E50" s="131">
        <f t="shared" si="3"/>
        <v>29486078.312575415</v>
      </c>
    </row>
    <row r="51" spans="1:15" x14ac:dyDescent="0.25">
      <c r="A51" s="8" t="s">
        <v>34</v>
      </c>
      <c r="B51" s="131">
        <f t="shared" si="0"/>
        <v>34107052.945800707</v>
      </c>
      <c r="C51" s="131">
        <f t="shared" si="1"/>
        <v>5478359.06171834</v>
      </c>
      <c r="D51" s="131">
        <f t="shared" si="2"/>
        <v>3993256.8665332473</v>
      </c>
      <c r="E51" s="131">
        <f t="shared" si="3"/>
        <v>43578668.874052294</v>
      </c>
    </row>
    <row r="52" spans="1:15" x14ac:dyDescent="0.25">
      <c r="A52" s="8" t="s">
        <v>35</v>
      </c>
      <c r="B52" s="131">
        <f t="shared" si="0"/>
        <v>39559144.828442745</v>
      </c>
      <c r="C52" s="131">
        <f t="shared" si="1"/>
        <v>6400442.3364564208</v>
      </c>
      <c r="D52" s="131">
        <f t="shared" si="2"/>
        <v>6457697.3188470881</v>
      </c>
      <c r="E52" s="131">
        <f t="shared" si="3"/>
        <v>52417284.483746253</v>
      </c>
    </row>
    <row r="56" spans="1:15" ht="18.75" x14ac:dyDescent="0.3">
      <c r="A56" s="28" t="s">
        <v>56</v>
      </c>
      <c r="B56" s="4" t="str">
        <f>B7</f>
        <v>Based on the total market capacity profile, GTS determines the optimal conversion to standard products: Year, Quarter and Month products</v>
      </c>
    </row>
    <row r="58" spans="1:15" x14ac:dyDescent="0.25">
      <c r="C58" s="9"/>
      <c r="D58" s="9"/>
      <c r="E58" s="9"/>
      <c r="F58" s="9"/>
    </row>
    <row r="59" spans="1:15" x14ac:dyDescent="0.25">
      <c r="A59" s="32" t="s">
        <v>41</v>
      </c>
      <c r="B59" s="44" t="s">
        <v>120</v>
      </c>
      <c r="C59" s="60" t="s">
        <v>70</v>
      </c>
      <c r="D59" s="60" t="s">
        <v>71</v>
      </c>
      <c r="E59" s="60" t="s">
        <v>72</v>
      </c>
      <c r="F59" s="45" t="s">
        <v>73</v>
      </c>
    </row>
    <row r="60" spans="1:15" ht="15.75" thickBot="1" x14ac:dyDescent="0.3">
      <c r="A60" s="32"/>
      <c r="B60" s="42" t="s">
        <v>1</v>
      </c>
      <c r="C60" s="42" t="s">
        <v>1</v>
      </c>
      <c r="D60" s="42" t="s">
        <v>1</v>
      </c>
      <c r="E60" s="42" t="s">
        <v>1</v>
      </c>
      <c r="F60" s="42" t="s">
        <v>1</v>
      </c>
      <c r="N60" s="7"/>
      <c r="O60" s="7"/>
    </row>
    <row r="61" spans="1:15" x14ac:dyDescent="0.25">
      <c r="A61" s="8" t="s">
        <v>16</v>
      </c>
      <c r="B61" s="131">
        <f>E41</f>
        <v>52417284.483746253</v>
      </c>
      <c r="C61" s="132">
        <v>22624418.647371821</v>
      </c>
      <c r="D61" s="132">
        <v>20954250.226680472</v>
      </c>
      <c r="E61" s="132">
        <v>8838615.6096939594</v>
      </c>
      <c r="F61" s="132">
        <f>SUM(C61:E61)</f>
        <v>52417284.483746253</v>
      </c>
    </row>
    <row r="62" spans="1:15" x14ac:dyDescent="0.25">
      <c r="A62" s="8" t="s">
        <v>18</v>
      </c>
      <c r="B62" s="131">
        <f t="shared" ref="B62:B72" si="4">E42</f>
        <v>52417284.483746253</v>
      </c>
      <c r="C62" s="132">
        <v>22624418.647371821</v>
      </c>
      <c r="D62" s="132">
        <v>20954250.226680472</v>
      </c>
      <c r="E62" s="132">
        <v>8838615.6096939594</v>
      </c>
      <c r="F62" s="132">
        <f t="shared" ref="F62:F72" si="5">SUM(C62:E62)</f>
        <v>52417284.483746253</v>
      </c>
    </row>
    <row r="63" spans="1:15" x14ac:dyDescent="0.25">
      <c r="A63" s="8" t="s">
        <v>20</v>
      </c>
      <c r="B63" s="131">
        <f t="shared" si="4"/>
        <v>43578668.874052294</v>
      </c>
      <c r="C63" s="132">
        <v>22624418.647371821</v>
      </c>
      <c r="D63" s="132">
        <v>20954250.226680472</v>
      </c>
      <c r="E63" s="132">
        <v>0</v>
      </c>
      <c r="F63" s="132">
        <f t="shared" si="5"/>
        <v>43578668.874052294</v>
      </c>
    </row>
    <row r="64" spans="1:15" x14ac:dyDescent="0.25">
      <c r="A64" s="8" t="s">
        <v>22</v>
      </c>
      <c r="B64" s="131">
        <f t="shared" si="4"/>
        <v>31834843.406154893</v>
      </c>
      <c r="C64" s="132">
        <v>22624418.647371821</v>
      </c>
      <c r="D64" s="132">
        <v>0</v>
      </c>
      <c r="E64" s="132">
        <v>9210424.7587830722</v>
      </c>
      <c r="F64" s="132">
        <f t="shared" si="5"/>
        <v>31834843.406154893</v>
      </c>
    </row>
    <row r="65" spans="1:15" x14ac:dyDescent="0.25">
      <c r="A65" s="8" t="s">
        <v>24</v>
      </c>
      <c r="B65" s="131">
        <f>E45</f>
        <v>22624418.647371821</v>
      </c>
      <c r="C65" s="132">
        <v>22624418.647371821</v>
      </c>
      <c r="D65" s="132">
        <v>0</v>
      </c>
      <c r="E65" s="132">
        <v>0</v>
      </c>
      <c r="F65" s="132">
        <f t="shared" si="5"/>
        <v>22624418.647371821</v>
      </c>
    </row>
    <row r="66" spans="1:15" x14ac:dyDescent="0.25">
      <c r="A66" s="8" t="s">
        <v>25</v>
      </c>
      <c r="B66" s="131">
        <f t="shared" si="4"/>
        <v>14181886.56507594</v>
      </c>
      <c r="C66" s="132">
        <v>22624418.647371821</v>
      </c>
      <c r="D66" s="132">
        <v>0</v>
      </c>
      <c r="E66" s="132">
        <v>0</v>
      </c>
      <c r="F66" s="132">
        <f>SUM(C66:E66)</f>
        <v>22624418.647371821</v>
      </c>
    </row>
    <row r="67" spans="1:15" x14ac:dyDescent="0.25">
      <c r="A67" s="8" t="s">
        <v>26</v>
      </c>
      <c r="B67" s="131">
        <f t="shared" si="4"/>
        <v>7982672.2954603508</v>
      </c>
      <c r="C67" s="132">
        <v>22624418.647371821</v>
      </c>
      <c r="D67" s="132">
        <v>0</v>
      </c>
      <c r="E67" s="132">
        <v>0</v>
      </c>
      <c r="F67" s="132">
        <f t="shared" si="5"/>
        <v>22624418.647371821</v>
      </c>
    </row>
    <row r="68" spans="1:15" x14ac:dyDescent="0.25">
      <c r="A68" s="8" t="s">
        <v>28</v>
      </c>
      <c r="B68" s="131">
        <f t="shared" si="4"/>
        <v>7982672.2954603508</v>
      </c>
      <c r="C68" s="132">
        <v>22624418.647371821</v>
      </c>
      <c r="D68" s="132">
        <v>0</v>
      </c>
      <c r="E68" s="132">
        <v>0</v>
      </c>
      <c r="F68" s="132">
        <f t="shared" si="5"/>
        <v>22624418.647371821</v>
      </c>
    </row>
    <row r="69" spans="1:15" x14ac:dyDescent="0.25">
      <c r="A69" s="8" t="s">
        <v>30</v>
      </c>
      <c r="B69" s="131">
        <f t="shared" si="4"/>
        <v>16254335.444356726</v>
      </c>
      <c r="C69" s="132">
        <v>22624418.647371821</v>
      </c>
      <c r="D69" s="132">
        <v>0</v>
      </c>
      <c r="E69" s="132">
        <v>0</v>
      </c>
      <c r="F69" s="132">
        <f t="shared" si="5"/>
        <v>22624418.647371821</v>
      </c>
    </row>
    <row r="70" spans="1:15" x14ac:dyDescent="0.25">
      <c r="A70" s="8" t="s">
        <v>32</v>
      </c>
      <c r="B70" s="131">
        <f t="shared" si="4"/>
        <v>29486078.312575415</v>
      </c>
      <c r="C70" s="132">
        <v>22624418.647371821</v>
      </c>
      <c r="D70" s="132">
        <v>6861659.6652035937</v>
      </c>
      <c r="E70" s="132">
        <v>0</v>
      </c>
      <c r="F70" s="132">
        <f t="shared" si="5"/>
        <v>29486078.312575415</v>
      </c>
    </row>
    <row r="71" spans="1:15" x14ac:dyDescent="0.25">
      <c r="A71" s="8" t="s">
        <v>34</v>
      </c>
      <c r="B71" s="131">
        <f t="shared" si="4"/>
        <v>43578668.874052294</v>
      </c>
      <c r="C71" s="132">
        <v>22624418.647371821</v>
      </c>
      <c r="D71" s="132">
        <v>6861659.6652035937</v>
      </c>
      <c r="E71" s="132">
        <v>14092590.561476879</v>
      </c>
      <c r="F71" s="132">
        <f t="shared" si="5"/>
        <v>43578668.874052294</v>
      </c>
    </row>
    <row r="72" spans="1:15" x14ac:dyDescent="0.25">
      <c r="A72" s="8" t="s">
        <v>35</v>
      </c>
      <c r="B72" s="131">
        <f t="shared" si="4"/>
        <v>52417284.483746253</v>
      </c>
      <c r="C72" s="132">
        <v>22624418.647371821</v>
      </c>
      <c r="D72" s="132">
        <v>6861659.6652035937</v>
      </c>
      <c r="E72" s="132">
        <v>22931206.171170838</v>
      </c>
      <c r="F72" s="132">
        <f t="shared" si="5"/>
        <v>52417284.483746253</v>
      </c>
    </row>
    <row r="75" spans="1:15" ht="18.75" x14ac:dyDescent="0.3">
      <c r="A75" s="28" t="s">
        <v>59</v>
      </c>
      <c r="B75" s="4" t="str">
        <f>B8</f>
        <v>GTS calculates which part of the capacity will be converted to a Year product, which part will be converted to a Quarter product and which part will be converted to a Month product.</v>
      </c>
    </row>
    <row r="76" spans="1:15" ht="18.75" x14ac:dyDescent="0.3">
      <c r="A76" s="28"/>
      <c r="B76" s="4" t="str">
        <f>B9</f>
        <v>The result is expressed in the Split factors and Booking factor</v>
      </c>
    </row>
    <row r="78" spans="1:15" x14ac:dyDescent="0.25">
      <c r="A78" s="32" t="s">
        <v>41</v>
      </c>
      <c r="B78" s="181" t="s">
        <v>74</v>
      </c>
      <c r="C78" s="182"/>
      <c r="D78" s="183"/>
      <c r="E78" s="6"/>
      <c r="F78" s="6"/>
      <c r="G78" s="29" t="s">
        <v>75</v>
      </c>
    </row>
    <row r="79" spans="1:15" ht="15.75" thickBot="1" x14ac:dyDescent="0.3">
      <c r="A79" s="8"/>
      <c r="B79" s="37" t="s">
        <v>70</v>
      </c>
      <c r="C79" s="37" t="s">
        <v>71</v>
      </c>
      <c r="D79" s="37" t="s">
        <v>72</v>
      </c>
      <c r="E79" s="6"/>
      <c r="F79" s="6"/>
      <c r="G79" s="11"/>
      <c r="O79" s="7"/>
    </row>
    <row r="80" spans="1:15" x14ac:dyDescent="0.25">
      <c r="A80" s="8" t="s">
        <v>16</v>
      </c>
      <c r="B80" s="11">
        <f>C61/F61</f>
        <v>0.43162134151354759</v>
      </c>
      <c r="C80" s="11">
        <f t="shared" ref="C80:C91" si="6">D61/F61</f>
        <v>0.39975840856803724</v>
      </c>
      <c r="D80" s="11">
        <f t="shared" ref="D80:D91" si="7">E61/F61</f>
        <v>0.16862024991841518</v>
      </c>
      <c r="E80" s="11">
        <f t="shared" ref="E80:E91" si="8">SUM(B80:D80)</f>
        <v>1</v>
      </c>
      <c r="F80" s="84"/>
      <c r="G80" s="11">
        <f>F61/B61</f>
        <v>1</v>
      </c>
    </row>
    <row r="81" spans="1:8" x14ac:dyDescent="0.25">
      <c r="A81" s="8" t="s">
        <v>18</v>
      </c>
      <c r="B81" s="11">
        <f t="shared" ref="B81:B91" si="9">C62/F62</f>
        <v>0.43162134151354759</v>
      </c>
      <c r="C81" s="11">
        <f t="shared" si="6"/>
        <v>0.39975840856803724</v>
      </c>
      <c r="D81" s="11">
        <f t="shared" si="7"/>
        <v>0.16862024991841518</v>
      </c>
      <c r="E81" s="11">
        <f t="shared" si="8"/>
        <v>1</v>
      </c>
      <c r="F81" s="84"/>
      <c r="G81" s="11">
        <f t="shared" ref="G81:G91" si="10">F62/B62</f>
        <v>1</v>
      </c>
    </row>
    <row r="82" spans="1:8" x14ac:dyDescent="0.25">
      <c r="A82" s="8" t="s">
        <v>20</v>
      </c>
      <c r="B82" s="11">
        <f t="shared" si="9"/>
        <v>0.51916268284281863</v>
      </c>
      <c r="C82" s="11">
        <f t="shared" si="6"/>
        <v>0.48083731715718142</v>
      </c>
      <c r="D82" s="11">
        <f t="shared" si="7"/>
        <v>0</v>
      </c>
      <c r="E82" s="11">
        <f t="shared" si="8"/>
        <v>1</v>
      </c>
      <c r="F82" s="84"/>
      <c r="G82" s="11">
        <f t="shared" si="10"/>
        <v>1</v>
      </c>
    </row>
    <row r="83" spans="1:8" x14ac:dyDescent="0.25">
      <c r="A83" s="8" t="s">
        <v>22</v>
      </c>
      <c r="B83" s="11">
        <f t="shared" si="9"/>
        <v>0.7106810094438113</v>
      </c>
      <c r="C83" s="11">
        <f t="shared" si="6"/>
        <v>0</v>
      </c>
      <c r="D83" s="11">
        <f t="shared" si="7"/>
        <v>0.28931899055618865</v>
      </c>
      <c r="E83" s="11">
        <f t="shared" si="8"/>
        <v>1</v>
      </c>
      <c r="F83" s="84"/>
      <c r="G83" s="11">
        <f t="shared" si="10"/>
        <v>1</v>
      </c>
    </row>
    <row r="84" spans="1:8" x14ac:dyDescent="0.25">
      <c r="A84" s="8" t="s">
        <v>24</v>
      </c>
      <c r="B84" s="11">
        <f t="shared" si="9"/>
        <v>1</v>
      </c>
      <c r="C84" s="11">
        <f t="shared" si="6"/>
        <v>0</v>
      </c>
      <c r="D84" s="11">
        <f t="shared" si="7"/>
        <v>0</v>
      </c>
      <c r="E84" s="11">
        <f t="shared" si="8"/>
        <v>1</v>
      </c>
      <c r="F84" s="84"/>
      <c r="G84" s="11">
        <f>F65/B65</f>
        <v>1</v>
      </c>
    </row>
    <row r="85" spans="1:8" x14ac:dyDescent="0.25">
      <c r="A85" s="8" t="s">
        <v>25</v>
      </c>
      <c r="B85" s="11">
        <f t="shared" si="9"/>
        <v>1</v>
      </c>
      <c r="C85" s="11">
        <f t="shared" si="6"/>
        <v>0</v>
      </c>
      <c r="D85" s="11">
        <f t="shared" si="7"/>
        <v>0</v>
      </c>
      <c r="E85" s="11">
        <f t="shared" si="8"/>
        <v>1</v>
      </c>
      <c r="F85" s="84"/>
      <c r="G85" s="11">
        <f t="shared" si="10"/>
        <v>1.5953038788990395</v>
      </c>
    </row>
    <row r="86" spans="1:8" x14ac:dyDescent="0.25">
      <c r="A86" s="8" t="s">
        <v>26</v>
      </c>
      <c r="B86" s="11">
        <f t="shared" si="9"/>
        <v>1</v>
      </c>
      <c r="C86" s="11">
        <f t="shared" si="6"/>
        <v>0</v>
      </c>
      <c r="D86" s="11">
        <f t="shared" si="7"/>
        <v>0</v>
      </c>
      <c r="E86" s="11">
        <f t="shared" si="8"/>
        <v>1</v>
      </c>
      <c r="F86" s="84"/>
      <c r="G86" s="11">
        <f t="shared" si="10"/>
        <v>2.8341910841358295</v>
      </c>
    </row>
    <row r="87" spans="1:8" x14ac:dyDescent="0.25">
      <c r="A87" s="8" t="s">
        <v>28</v>
      </c>
      <c r="B87" s="11">
        <f t="shared" si="9"/>
        <v>1</v>
      </c>
      <c r="C87" s="11">
        <f t="shared" si="6"/>
        <v>0</v>
      </c>
      <c r="D87" s="11">
        <f t="shared" si="7"/>
        <v>0</v>
      </c>
      <c r="E87" s="11">
        <f t="shared" si="8"/>
        <v>1</v>
      </c>
      <c r="F87" s="84"/>
      <c r="G87" s="11">
        <f t="shared" si="10"/>
        <v>2.8341910841358295</v>
      </c>
    </row>
    <row r="88" spans="1:8" x14ac:dyDescent="0.25">
      <c r="A88" s="8" t="s">
        <v>30</v>
      </c>
      <c r="B88" s="11">
        <f t="shared" si="9"/>
        <v>1</v>
      </c>
      <c r="C88" s="11">
        <f t="shared" si="6"/>
        <v>0</v>
      </c>
      <c r="D88" s="11">
        <f t="shared" si="7"/>
        <v>0</v>
      </c>
      <c r="E88" s="11">
        <f t="shared" si="8"/>
        <v>1</v>
      </c>
      <c r="F88" s="84"/>
      <c r="G88" s="11">
        <f t="shared" si="10"/>
        <v>1.3919005624574272</v>
      </c>
    </row>
    <row r="89" spans="1:8" x14ac:dyDescent="0.25">
      <c r="A89" s="8" t="s">
        <v>32</v>
      </c>
      <c r="B89" s="11">
        <f t="shared" si="9"/>
        <v>0.76729154713405245</v>
      </c>
      <c r="C89" s="11">
        <f t="shared" si="6"/>
        <v>0.23270845286594755</v>
      </c>
      <c r="D89" s="11">
        <f t="shared" si="7"/>
        <v>0</v>
      </c>
      <c r="E89" s="11">
        <f t="shared" si="8"/>
        <v>1</v>
      </c>
      <c r="F89" s="84"/>
      <c r="G89" s="11">
        <f t="shared" si="10"/>
        <v>1</v>
      </c>
    </row>
    <row r="90" spans="1:8" x14ac:dyDescent="0.25">
      <c r="A90" s="8" t="s">
        <v>34</v>
      </c>
      <c r="B90" s="11">
        <f t="shared" si="9"/>
        <v>0.51916268284281863</v>
      </c>
      <c r="C90" s="11">
        <f t="shared" si="6"/>
        <v>0.15745454926662936</v>
      </c>
      <c r="D90" s="11">
        <f t="shared" si="7"/>
        <v>0.32338276789055209</v>
      </c>
      <c r="E90" s="11">
        <f>SUM(B90:D90)</f>
        <v>1</v>
      </c>
      <c r="F90" s="84"/>
      <c r="G90" s="11">
        <f t="shared" si="10"/>
        <v>1</v>
      </c>
    </row>
    <row r="91" spans="1:8" x14ac:dyDescent="0.25">
      <c r="A91" s="8" t="s">
        <v>35</v>
      </c>
      <c r="B91" s="11">
        <f t="shared" si="9"/>
        <v>0.43162134151354759</v>
      </c>
      <c r="C91" s="11">
        <f t="shared" si="6"/>
        <v>0.1309045238184989</v>
      </c>
      <c r="D91" s="11">
        <f t="shared" si="7"/>
        <v>0.43747413466795348</v>
      </c>
      <c r="E91" s="11">
        <f t="shared" si="8"/>
        <v>1</v>
      </c>
      <c r="F91" s="84"/>
      <c r="G91" s="11">
        <f t="shared" si="10"/>
        <v>1</v>
      </c>
    </row>
    <row r="92" spans="1:8" x14ac:dyDescent="0.25">
      <c r="A92" s="129"/>
      <c r="B92" t="s">
        <v>121</v>
      </c>
      <c r="C92" s="128"/>
      <c r="D92" s="128"/>
      <c r="E92" s="128"/>
      <c r="F92" s="128"/>
      <c r="H92" s="128"/>
    </row>
    <row r="94" spans="1:8" ht="18.75" x14ac:dyDescent="0.3">
      <c r="A94" s="28" t="s">
        <v>62</v>
      </c>
      <c r="B94" s="4" t="str">
        <f>B10</f>
        <v>GTS calculates the standard capacity for profile users</v>
      </c>
    </row>
    <row r="96" spans="1:8" ht="17.25" x14ac:dyDescent="0.25">
      <c r="A96" s="9"/>
      <c r="B96" s="9"/>
      <c r="C96" s="34" t="s">
        <v>122</v>
      </c>
      <c r="D96" s="34" t="s">
        <v>1</v>
      </c>
    </row>
    <row r="97" spans="1:9" x14ac:dyDescent="0.25">
      <c r="A97" s="6" t="s">
        <v>123</v>
      </c>
      <c r="B97" s="6"/>
      <c r="C97" s="132">
        <v>7100000</v>
      </c>
      <c r="D97" s="53">
        <f>C97*35.17/3.6</f>
        <v>69363055.555555552</v>
      </c>
      <c r="F97" s="56"/>
    </row>
    <row r="98" spans="1:9" x14ac:dyDescent="0.25">
      <c r="D98" s="21"/>
    </row>
    <row r="100" spans="1:9" s="23" customFormat="1" x14ac:dyDescent="0.25"/>
    <row r="102" spans="1:9" ht="18.75" x14ac:dyDescent="0.3">
      <c r="A102" s="4" t="s">
        <v>81</v>
      </c>
    </row>
    <row r="103" spans="1:9" s="25" customFormat="1" ht="15.75" x14ac:dyDescent="0.25">
      <c r="A103" t="s">
        <v>50</v>
      </c>
      <c r="B103" t="s">
        <v>124</v>
      </c>
      <c r="C103"/>
      <c r="D103"/>
      <c r="E103"/>
      <c r="F103" s="5"/>
    </row>
    <row r="104" spans="1:9" s="25" customFormat="1" ht="15.75" x14ac:dyDescent="0.25">
      <c r="A104" t="s">
        <v>52</v>
      </c>
      <c r="B104" t="s">
        <v>125</v>
      </c>
      <c r="C104"/>
      <c r="D104"/>
      <c r="E104"/>
      <c r="F104" s="5"/>
    </row>
    <row r="105" spans="1:9" s="25" customFormat="1" ht="15.75" x14ac:dyDescent="0.25">
      <c r="A105" t="s">
        <v>54</v>
      </c>
      <c r="B105" t="s">
        <v>126</v>
      </c>
      <c r="C105"/>
      <c r="D105"/>
      <c r="E105"/>
      <c r="F105" s="5"/>
    </row>
    <row r="106" spans="1:9" x14ac:dyDescent="0.25">
      <c r="A106" t="s">
        <v>56</v>
      </c>
      <c r="B106" t="s">
        <v>127</v>
      </c>
    </row>
    <row r="107" spans="1:9" x14ac:dyDescent="0.25">
      <c r="A107" t="s">
        <v>59</v>
      </c>
      <c r="B107" t="s">
        <v>128</v>
      </c>
      <c r="I107" s="5"/>
    </row>
    <row r="108" spans="1:9" x14ac:dyDescent="0.25">
      <c r="A108" t="s">
        <v>62</v>
      </c>
      <c r="B108" t="s">
        <v>129</v>
      </c>
    </row>
    <row r="109" spans="1:9" x14ac:dyDescent="0.25">
      <c r="B109" t="s">
        <v>87</v>
      </c>
    </row>
    <row r="110" spans="1:9" x14ac:dyDescent="0.25">
      <c r="A110" t="s">
        <v>130</v>
      </c>
      <c r="B110" t="s">
        <v>88</v>
      </c>
    </row>
    <row r="114" spans="1:7" ht="18.75" x14ac:dyDescent="0.3">
      <c r="A114" s="28" t="s">
        <v>50</v>
      </c>
      <c r="B114" s="4" t="str">
        <f>B103</f>
        <v>GTS calculates each month the total standard yearly usage per category type (G1A, G2A, G2C and GMN) based on OV-exit data received from DSO's</v>
      </c>
    </row>
    <row r="116" spans="1:7" x14ac:dyDescent="0.25">
      <c r="B116" s="1" t="s">
        <v>131</v>
      </c>
    </row>
    <row r="117" spans="1:7" ht="30" x14ac:dyDescent="0.25">
      <c r="A117" s="32" t="s">
        <v>41</v>
      </c>
      <c r="B117" s="124" t="s">
        <v>113</v>
      </c>
      <c r="C117" s="124" t="s">
        <v>114</v>
      </c>
      <c r="D117" s="124" t="s">
        <v>132</v>
      </c>
      <c r="E117" s="124" t="s">
        <v>133</v>
      </c>
      <c r="G117" s="56"/>
    </row>
    <row r="118" spans="1:7" x14ac:dyDescent="0.25">
      <c r="A118" s="123" t="s">
        <v>16</v>
      </c>
      <c r="B118" s="156">
        <v>69365202308</v>
      </c>
      <c r="C118" s="156">
        <v>13509732035</v>
      </c>
      <c r="D118" s="156">
        <v>8935980678</v>
      </c>
      <c r="E118" s="156">
        <v>1071706307</v>
      </c>
      <c r="F118" s="21"/>
      <c r="G118" s="31" t="s">
        <v>89</v>
      </c>
    </row>
    <row r="119" spans="1:7" x14ac:dyDescent="0.25">
      <c r="A119" s="123" t="s">
        <v>18</v>
      </c>
      <c r="B119" s="156">
        <v>69028265474</v>
      </c>
      <c r="C119" s="156">
        <v>12908194330</v>
      </c>
      <c r="D119" s="156">
        <v>8998373599</v>
      </c>
      <c r="E119" s="156">
        <v>1071706307</v>
      </c>
      <c r="F119" s="21"/>
      <c r="G119" s="66" t="s">
        <v>90</v>
      </c>
    </row>
    <row r="120" spans="1:7" x14ac:dyDescent="0.25">
      <c r="A120" s="8" t="s">
        <v>20</v>
      </c>
      <c r="B120" s="156">
        <v>69109072972</v>
      </c>
      <c r="C120" s="156">
        <v>12884583230</v>
      </c>
      <c r="D120" s="156">
        <v>9046447955</v>
      </c>
      <c r="E120" s="156">
        <v>1071706307</v>
      </c>
      <c r="F120" s="21"/>
      <c r="G120" s="158" t="s">
        <v>91</v>
      </c>
    </row>
    <row r="121" spans="1:7" x14ac:dyDescent="0.25">
      <c r="A121" s="8" t="s">
        <v>22</v>
      </c>
      <c r="B121" s="156">
        <v>69420933262</v>
      </c>
      <c r="C121" s="156">
        <v>12821417333</v>
      </c>
      <c r="D121" s="156">
        <v>9045305639</v>
      </c>
      <c r="E121" s="156">
        <v>1071706307</v>
      </c>
      <c r="F121" s="21"/>
    </row>
    <row r="122" spans="1:7" x14ac:dyDescent="0.25">
      <c r="A122" s="8" t="s">
        <v>24</v>
      </c>
      <c r="B122" s="156">
        <v>69581324324</v>
      </c>
      <c r="C122" s="156">
        <v>12794991897</v>
      </c>
      <c r="D122" s="156">
        <v>9118582081</v>
      </c>
      <c r="E122" s="156">
        <v>1071706307</v>
      </c>
    </row>
    <row r="123" spans="1:7" x14ac:dyDescent="0.25">
      <c r="A123" s="8" t="s">
        <v>25</v>
      </c>
      <c r="B123" s="156">
        <v>69505705696</v>
      </c>
      <c r="C123" s="156">
        <v>12787283376</v>
      </c>
      <c r="D123" s="156">
        <v>9147234049</v>
      </c>
      <c r="E123" s="156">
        <v>1071706307</v>
      </c>
    </row>
    <row r="124" spans="1:7" x14ac:dyDescent="0.25">
      <c r="A124" s="8" t="s">
        <v>26</v>
      </c>
      <c r="B124" s="156">
        <v>69607334203</v>
      </c>
      <c r="C124" s="156">
        <v>12792923450</v>
      </c>
      <c r="D124" s="156">
        <v>9268567385</v>
      </c>
      <c r="E124" s="156">
        <v>1071706293</v>
      </c>
    </row>
    <row r="125" spans="1:7" x14ac:dyDescent="0.25">
      <c r="A125" s="8" t="s">
        <v>28</v>
      </c>
      <c r="B125" s="156">
        <v>69727553802</v>
      </c>
      <c r="C125" s="156">
        <v>12808129179</v>
      </c>
      <c r="D125" s="156">
        <v>9346697428</v>
      </c>
      <c r="E125" s="156">
        <v>1071706293</v>
      </c>
    </row>
    <row r="126" spans="1:7" x14ac:dyDescent="0.25">
      <c r="A126" s="8" t="s">
        <v>30</v>
      </c>
      <c r="B126" s="156">
        <v>69778751850</v>
      </c>
      <c r="C126" s="156">
        <v>12806039246</v>
      </c>
      <c r="D126" s="156">
        <v>9432430916</v>
      </c>
      <c r="E126" s="156">
        <v>1071706293</v>
      </c>
    </row>
    <row r="127" spans="1:7" x14ac:dyDescent="0.25">
      <c r="A127" s="8" t="s">
        <v>32</v>
      </c>
      <c r="B127" s="156">
        <v>69268709628</v>
      </c>
      <c r="C127" s="156">
        <v>12755727868</v>
      </c>
      <c r="D127" s="156">
        <v>9523179353</v>
      </c>
      <c r="E127" s="156">
        <v>1071706293</v>
      </c>
      <c r="F127" s="21"/>
    </row>
    <row r="128" spans="1:7" x14ac:dyDescent="0.25">
      <c r="A128" s="8" t="s">
        <v>34</v>
      </c>
      <c r="B128" s="156">
        <v>69982250980</v>
      </c>
      <c r="C128" s="156">
        <v>12807833799</v>
      </c>
      <c r="D128" s="156">
        <v>9602176198</v>
      </c>
      <c r="E128" s="156">
        <v>1071706293</v>
      </c>
    </row>
    <row r="129" spans="1:8" x14ac:dyDescent="0.25">
      <c r="A129" s="8" t="s">
        <v>35</v>
      </c>
      <c r="B129" s="156">
        <v>70304688503</v>
      </c>
      <c r="C129" s="156">
        <v>12814736294</v>
      </c>
      <c r="D129" s="156">
        <v>9689291490</v>
      </c>
      <c r="E129" s="156">
        <v>1071706293</v>
      </c>
    </row>
    <row r="131" spans="1:8" x14ac:dyDescent="0.25">
      <c r="C131" s="30"/>
    </row>
    <row r="132" spans="1:8" ht="18.75" x14ac:dyDescent="0.3">
      <c r="A132" s="28" t="s">
        <v>52</v>
      </c>
      <c r="B132" s="4" t="str">
        <f>B104</f>
        <v>Based on the standard yearly usage per category type (G1A, G2A, G2C, GMN), GTS calculates each month the model capacity</v>
      </c>
    </row>
    <row r="133" spans="1:8" ht="18.75" x14ac:dyDescent="0.3">
      <c r="A133" s="28"/>
      <c r="B133" s="4"/>
    </row>
    <row r="134" spans="1:8" ht="18.75" x14ac:dyDescent="0.3">
      <c r="A134" s="4"/>
    </row>
    <row r="135" spans="1:8" x14ac:dyDescent="0.25">
      <c r="B135" s="1" t="s">
        <v>134</v>
      </c>
      <c r="C135" s="1"/>
    </row>
    <row r="136" spans="1:8" ht="45" x14ac:dyDescent="0.25">
      <c r="A136" s="32" t="s">
        <v>41</v>
      </c>
      <c r="B136" s="35" t="s">
        <v>135</v>
      </c>
      <c r="C136" s="35" t="s">
        <v>136</v>
      </c>
      <c r="D136" s="35" t="s">
        <v>137</v>
      </c>
      <c r="E136" s="35" t="s">
        <v>138</v>
      </c>
      <c r="F136" s="36" t="s">
        <v>139</v>
      </c>
    </row>
    <row r="137" spans="1:8" x14ac:dyDescent="0.25">
      <c r="A137" s="8" t="s">
        <v>16</v>
      </c>
      <c r="B137" s="155">
        <f>B118*$C$15</f>
        <v>38562708.83427947</v>
      </c>
      <c r="C137" s="155">
        <f>C118*$D$15</f>
        <v>6144131.0210044738</v>
      </c>
      <c r="D137" s="155">
        <f t="shared" ref="D137:E139" si="11">D118*$E$15</f>
        <v>5625315.6471105879</v>
      </c>
      <c r="E137" s="155">
        <f t="shared" si="11"/>
        <v>674653.00957023888</v>
      </c>
      <c r="F137" s="155">
        <f>SUM(B137:E137)</f>
        <v>51006808.511964776</v>
      </c>
      <c r="H137" s="31" t="s">
        <v>89</v>
      </c>
    </row>
    <row r="138" spans="1:8" x14ac:dyDescent="0.25">
      <c r="A138" s="8" t="s">
        <v>18</v>
      </c>
      <c r="B138" s="155">
        <f t="shared" ref="B138:B148" si="12">B119*$C$15</f>
        <v>38375393.053560011</v>
      </c>
      <c r="C138" s="155">
        <f>C119*$D$15</f>
        <v>5870555.9075959176</v>
      </c>
      <c r="D138" s="155">
        <f t="shared" si="11"/>
        <v>5664592.7994923443</v>
      </c>
      <c r="E138" s="155">
        <f t="shared" si="11"/>
        <v>674653.00957023888</v>
      </c>
      <c r="F138" s="155">
        <f>SUM(B138:E138)</f>
        <v>50585194.770218514</v>
      </c>
      <c r="H138" s="66" t="s">
        <v>90</v>
      </c>
    </row>
    <row r="139" spans="1:8" x14ac:dyDescent="0.25">
      <c r="A139" s="8" t="s">
        <v>20</v>
      </c>
      <c r="B139" s="155">
        <f>B120*$C$15</f>
        <v>38420316.962282486</v>
      </c>
      <c r="C139" s="155">
        <f>C120*$D$15</f>
        <v>5859817.7455380615</v>
      </c>
      <c r="D139" s="155">
        <f t="shared" si="11"/>
        <v>5694856.2296379982</v>
      </c>
      <c r="E139" s="155">
        <f t="shared" si="11"/>
        <v>674653.00957023888</v>
      </c>
      <c r="F139" s="155">
        <f>SUM(B139:E139)</f>
        <v>50649643.947028786</v>
      </c>
      <c r="H139" s="158" t="s">
        <v>91</v>
      </c>
    </row>
    <row r="140" spans="1:8" x14ac:dyDescent="0.25">
      <c r="A140" s="8" t="s">
        <v>22</v>
      </c>
      <c r="B140" s="155">
        <f t="shared" si="12"/>
        <v>38593691.754831128</v>
      </c>
      <c r="C140" s="155">
        <f t="shared" ref="C140:C148" si="13">C121*$D$15</f>
        <v>5831090.3402703758</v>
      </c>
      <c r="D140" s="155">
        <f t="shared" ref="D140:E140" si="14">D121*$E$15</f>
        <v>5694137.1269115824</v>
      </c>
      <c r="E140" s="155">
        <f t="shared" si="14"/>
        <v>674653.00957023888</v>
      </c>
      <c r="F140" s="155">
        <f t="shared" ref="F140:F148" si="15">SUM(B140:E140)</f>
        <v>50793572.231583327</v>
      </c>
    </row>
    <row r="141" spans="1:8" x14ac:dyDescent="0.25">
      <c r="A141" s="8" t="s">
        <v>24</v>
      </c>
      <c r="B141" s="155">
        <f t="shared" si="12"/>
        <v>38682859.141614825</v>
      </c>
      <c r="C141" s="155">
        <f t="shared" si="13"/>
        <v>5819072.2380126454</v>
      </c>
      <c r="D141" s="155">
        <f t="shared" ref="D141:E141" si="16">D122*$E$15</f>
        <v>5740265.5968132708</v>
      </c>
      <c r="E141" s="155">
        <f t="shared" si="16"/>
        <v>674653.00957023888</v>
      </c>
      <c r="F141" s="155">
        <f t="shared" si="15"/>
        <v>50916849.986010976</v>
      </c>
    </row>
    <row r="142" spans="1:8" x14ac:dyDescent="0.25">
      <c r="A142" s="8" t="s">
        <v>25</v>
      </c>
      <c r="B142" s="155">
        <f t="shared" si="12"/>
        <v>38640819.919685312</v>
      </c>
      <c r="C142" s="155">
        <f t="shared" si="13"/>
        <v>5815566.4569298336</v>
      </c>
      <c r="D142" s="155">
        <f t="shared" ref="D142:E142" si="17">D123*$E$15</f>
        <v>5758302.3819987765</v>
      </c>
      <c r="E142" s="155">
        <f t="shared" si="17"/>
        <v>674653.00957023888</v>
      </c>
      <c r="F142" s="155">
        <f t="shared" si="15"/>
        <v>50889341.768184163</v>
      </c>
    </row>
    <row r="143" spans="1:8" x14ac:dyDescent="0.25">
      <c r="A143" s="8" t="s">
        <v>26</v>
      </c>
      <c r="B143" s="155">
        <f t="shared" si="12"/>
        <v>38697319.005600207</v>
      </c>
      <c r="C143" s="155">
        <f t="shared" si="13"/>
        <v>5818131.5228789123</v>
      </c>
      <c r="D143" s="155">
        <f t="shared" ref="D143:E143" si="18">D124*$E$15</f>
        <v>5834683.2894908106</v>
      </c>
      <c r="E143" s="155">
        <f t="shared" si="18"/>
        <v>674653.00075705745</v>
      </c>
      <c r="F143" s="155">
        <f t="shared" si="15"/>
        <v>51024786.818726994</v>
      </c>
    </row>
    <row r="144" spans="1:8" x14ac:dyDescent="0.25">
      <c r="A144" s="8" t="s">
        <v>28</v>
      </c>
      <c r="B144" s="155">
        <f t="shared" si="12"/>
        <v>38764153.574492916</v>
      </c>
      <c r="C144" s="155">
        <f t="shared" si="13"/>
        <v>5825046.98137978</v>
      </c>
      <c r="D144" s="155">
        <f t="shared" ref="D144:E144" si="19">D125*$E$15</f>
        <v>5883867.1641246676</v>
      </c>
      <c r="E144" s="155">
        <f t="shared" si="19"/>
        <v>674653.00075705745</v>
      </c>
      <c r="F144" s="155">
        <f t="shared" si="15"/>
        <v>51147720.720754422</v>
      </c>
    </row>
    <row r="145" spans="1:7" x14ac:dyDescent="0.25">
      <c r="A145" s="8" t="s">
        <v>30</v>
      </c>
      <c r="B145" s="155">
        <f t="shared" si="12"/>
        <v>38792616.483159147</v>
      </c>
      <c r="C145" s="155">
        <f t="shared" si="13"/>
        <v>5824096.494564509</v>
      </c>
      <c r="D145" s="155">
        <f t="shared" ref="D145:E145" si="20">D126*$E$15</f>
        <v>5937837.5059266724</v>
      </c>
      <c r="E145" s="155">
        <f t="shared" si="20"/>
        <v>674653.00075705745</v>
      </c>
      <c r="F145" s="155">
        <f t="shared" si="15"/>
        <v>51229203.484407388</v>
      </c>
    </row>
    <row r="146" spans="1:7" x14ac:dyDescent="0.25">
      <c r="A146" s="8" t="s">
        <v>32</v>
      </c>
      <c r="B146" s="155">
        <f t="shared" si="12"/>
        <v>38509064.946571089</v>
      </c>
      <c r="C146" s="155">
        <f t="shared" si="13"/>
        <v>5801215.2340422096</v>
      </c>
      <c r="D146" s="155">
        <f t="shared" ref="D146:E146" si="21">D127*$E$15</f>
        <v>5994964.8231179155</v>
      </c>
      <c r="E146" s="155">
        <f t="shared" si="21"/>
        <v>674653.00075705745</v>
      </c>
      <c r="F146" s="155">
        <f t="shared" si="15"/>
        <v>50979898.004488282</v>
      </c>
    </row>
    <row r="147" spans="1:7" x14ac:dyDescent="0.25">
      <c r="A147" s="8" t="s">
        <v>34</v>
      </c>
      <c r="B147" s="155">
        <f t="shared" si="12"/>
        <v>38905749.256323628</v>
      </c>
      <c r="C147" s="155">
        <f t="shared" si="13"/>
        <v>5824912.6446352554</v>
      </c>
      <c r="D147" s="155">
        <f t="shared" ref="D147:E147" si="22">D128*$E$15</f>
        <v>6044694.3608445274</v>
      </c>
      <c r="E147" s="155">
        <f t="shared" si="22"/>
        <v>674653.00075705745</v>
      </c>
      <c r="F147" s="155">
        <f t="shared" si="15"/>
        <v>51450009.262560472</v>
      </c>
    </row>
    <row r="148" spans="1:7" x14ac:dyDescent="0.25">
      <c r="A148" s="8" t="s">
        <v>35</v>
      </c>
      <c r="B148" s="155">
        <f t="shared" si="12"/>
        <v>39085004.328073941</v>
      </c>
      <c r="C148" s="155">
        <f t="shared" si="13"/>
        <v>5828051.8507676907</v>
      </c>
      <c r="D148" s="155">
        <f t="shared" ref="D148:E148" si="23">D129*$E$15</f>
        <v>6099534.5661727116</v>
      </c>
      <c r="E148" s="155">
        <f t="shared" si="23"/>
        <v>674653.00075705745</v>
      </c>
      <c r="F148" s="155">
        <f t="shared" si="15"/>
        <v>51687243.745771408</v>
      </c>
    </row>
    <row r="149" spans="1:7" x14ac:dyDescent="0.25">
      <c r="C149" s="30"/>
    </row>
    <row r="150" spans="1:7" ht="18.75" x14ac:dyDescent="0.3">
      <c r="A150" s="4"/>
    </row>
    <row r="151" spans="1:7" x14ac:dyDescent="0.25">
      <c r="D151" s="21"/>
    </row>
    <row r="152" spans="1:7" ht="18.75" x14ac:dyDescent="0.3">
      <c r="A152" s="28" t="s">
        <v>54</v>
      </c>
      <c r="B152" s="4" t="str">
        <f>B105</f>
        <v>GTS calculates each month a new fit factor : Standard capacity for profile users / Model capacity profile users</v>
      </c>
    </row>
    <row r="153" spans="1:7" ht="18.75" x14ac:dyDescent="0.3">
      <c r="A153" s="28"/>
      <c r="B153" s="4"/>
    </row>
    <row r="154" spans="1:7" x14ac:dyDescent="0.25">
      <c r="D154" s="21"/>
    </row>
    <row r="155" spans="1:7" x14ac:dyDescent="0.25">
      <c r="A155" s="1" t="s">
        <v>41</v>
      </c>
      <c r="B155" s="10" t="s">
        <v>140</v>
      </c>
    </row>
    <row r="156" spans="1:7" x14ac:dyDescent="0.25">
      <c r="A156" t="s">
        <v>16</v>
      </c>
      <c r="B156" s="154">
        <f t="shared" ref="B156:B166" si="24">ROUND(($D$97/F137),2)</f>
        <v>1.36</v>
      </c>
      <c r="G156" s="31" t="s">
        <v>89</v>
      </c>
    </row>
    <row r="157" spans="1:7" x14ac:dyDescent="0.25">
      <c r="A157" t="s">
        <v>18</v>
      </c>
      <c r="B157" s="154">
        <f t="shared" si="24"/>
        <v>1.37</v>
      </c>
      <c r="G157" s="66" t="s">
        <v>90</v>
      </c>
    </row>
    <row r="158" spans="1:7" x14ac:dyDescent="0.25">
      <c r="A158" t="s">
        <v>20</v>
      </c>
      <c r="B158" s="154">
        <f>ROUND(($D$97/F139),2)</f>
        <v>1.37</v>
      </c>
      <c r="G158" s="158" t="s">
        <v>91</v>
      </c>
    </row>
    <row r="159" spans="1:7" x14ac:dyDescent="0.25">
      <c r="A159" t="s">
        <v>22</v>
      </c>
      <c r="B159" s="154">
        <f t="shared" si="24"/>
        <v>1.37</v>
      </c>
    </row>
    <row r="160" spans="1:7" x14ac:dyDescent="0.25">
      <c r="A160" t="s">
        <v>24</v>
      </c>
      <c r="B160" s="154">
        <f t="shared" si="24"/>
        <v>1.36</v>
      </c>
    </row>
    <row r="161" spans="1:5" x14ac:dyDescent="0.25">
      <c r="A161" t="s">
        <v>25</v>
      </c>
      <c r="B161" s="154">
        <f t="shared" si="24"/>
        <v>1.36</v>
      </c>
    </row>
    <row r="162" spans="1:5" x14ac:dyDescent="0.25">
      <c r="A162" t="s">
        <v>26</v>
      </c>
      <c r="B162" s="154">
        <f t="shared" si="24"/>
        <v>1.36</v>
      </c>
    </row>
    <row r="163" spans="1:5" x14ac:dyDescent="0.25">
      <c r="A163" t="s">
        <v>28</v>
      </c>
      <c r="B163" s="154">
        <f t="shared" si="24"/>
        <v>1.36</v>
      </c>
    </row>
    <row r="164" spans="1:5" x14ac:dyDescent="0.25">
      <c r="A164" t="s">
        <v>30</v>
      </c>
      <c r="B164" s="154">
        <f t="shared" si="24"/>
        <v>1.35</v>
      </c>
    </row>
    <row r="165" spans="1:5" x14ac:dyDescent="0.25">
      <c r="A165" t="s">
        <v>32</v>
      </c>
      <c r="B165" s="154">
        <f t="shared" si="24"/>
        <v>1.36</v>
      </c>
    </row>
    <row r="166" spans="1:5" x14ac:dyDescent="0.25">
      <c r="A166" t="s">
        <v>34</v>
      </c>
      <c r="B166" s="154">
        <f t="shared" si="24"/>
        <v>1.35</v>
      </c>
    </row>
    <row r="167" spans="1:5" x14ac:dyDescent="0.25">
      <c r="A167" t="s">
        <v>35</v>
      </c>
      <c r="B167" s="154">
        <f>ROUND(($D$97/F148),2)</f>
        <v>1.34</v>
      </c>
    </row>
    <row r="169" spans="1:5" x14ac:dyDescent="0.25">
      <c r="A169" s="1"/>
    </row>
    <row r="170" spans="1:5" ht="18.75" x14ac:dyDescent="0.3">
      <c r="A170" s="28" t="s">
        <v>56</v>
      </c>
      <c r="B170" s="4" t="str">
        <f>B106</f>
        <v>GTS and shipper receive each month OV-exit data with an update of the standard yearly usage per shipper in the three category types (G1A, G2A, G2C, GMN)</v>
      </c>
    </row>
    <row r="171" spans="1:5" ht="18.75" x14ac:dyDescent="0.25">
      <c r="A171" s="28"/>
    </row>
    <row r="172" spans="1:5" x14ac:dyDescent="0.25">
      <c r="B172" s="1" t="s">
        <v>141</v>
      </c>
    </row>
    <row r="173" spans="1:5" ht="45" x14ac:dyDescent="0.25">
      <c r="A173" s="32" t="s">
        <v>41</v>
      </c>
      <c r="B173" s="35" t="s">
        <v>142</v>
      </c>
      <c r="C173" s="35" t="s">
        <v>143</v>
      </c>
      <c r="D173" s="35" t="s">
        <v>144</v>
      </c>
      <c r="E173" s="35" t="s">
        <v>145</v>
      </c>
    </row>
    <row r="174" spans="1:5" x14ac:dyDescent="0.25">
      <c r="A174" s="8" t="s">
        <v>16</v>
      </c>
      <c r="B174" s="49">
        <f>'Quick calculator Profile'!C7</f>
        <v>0</v>
      </c>
      <c r="C174" s="49">
        <f>'Quick calculator Profile'!D7</f>
        <v>0</v>
      </c>
      <c r="D174" s="49">
        <f>'Quick calculator Profile'!E7</f>
        <v>0</v>
      </c>
      <c r="E174" s="49">
        <f>'Quick calculator Profile'!F7</f>
        <v>0</v>
      </c>
    </row>
    <row r="175" spans="1:5" x14ac:dyDescent="0.25">
      <c r="A175" s="8" t="s">
        <v>18</v>
      </c>
      <c r="B175" s="49">
        <f>'Quick calculator Profile'!C8</f>
        <v>0</v>
      </c>
      <c r="C175" s="49">
        <f>'Quick calculator Profile'!D8</f>
        <v>0</v>
      </c>
      <c r="D175" s="49">
        <f>'Quick calculator Profile'!E8</f>
        <v>0</v>
      </c>
      <c r="E175" s="49">
        <f>'Quick calculator Profile'!F8</f>
        <v>0</v>
      </c>
    </row>
    <row r="176" spans="1:5" x14ac:dyDescent="0.25">
      <c r="A176" s="8" t="s">
        <v>20</v>
      </c>
      <c r="B176" s="49">
        <f>'Quick calculator Profile'!C9</f>
        <v>0</v>
      </c>
      <c r="C176" s="49">
        <f>'Quick calculator Profile'!D9</f>
        <v>0</v>
      </c>
      <c r="D176" s="49">
        <f>'Quick calculator Profile'!E9</f>
        <v>0</v>
      </c>
      <c r="E176" s="49">
        <f>'Quick calculator Profile'!F9</f>
        <v>0</v>
      </c>
    </row>
    <row r="177" spans="1:7" x14ac:dyDescent="0.25">
      <c r="A177" s="8" t="s">
        <v>22</v>
      </c>
      <c r="B177" s="49">
        <f>'Quick calculator Profile'!C10</f>
        <v>0</v>
      </c>
      <c r="C177" s="49">
        <f>'Quick calculator Profile'!D10</f>
        <v>0</v>
      </c>
      <c r="D177" s="49">
        <f>'Quick calculator Profile'!E10</f>
        <v>0</v>
      </c>
      <c r="E177" s="49">
        <f>'Quick calculator Profile'!F10</f>
        <v>0</v>
      </c>
    </row>
    <row r="178" spans="1:7" x14ac:dyDescent="0.25">
      <c r="A178" s="8" t="s">
        <v>24</v>
      </c>
      <c r="B178" s="49">
        <f>'Quick calculator Profile'!C11</f>
        <v>0</v>
      </c>
      <c r="C178" s="49">
        <f>'Quick calculator Profile'!D11</f>
        <v>0</v>
      </c>
      <c r="D178" s="49">
        <f>'Quick calculator Profile'!E11</f>
        <v>0</v>
      </c>
      <c r="E178" s="49">
        <f>'Quick calculator Profile'!F11</f>
        <v>0</v>
      </c>
    </row>
    <row r="179" spans="1:7" x14ac:dyDescent="0.25">
      <c r="A179" s="8" t="s">
        <v>25</v>
      </c>
      <c r="B179" s="49">
        <f>'Quick calculator Profile'!C12</f>
        <v>0</v>
      </c>
      <c r="C179" s="49">
        <f>'Quick calculator Profile'!D12</f>
        <v>0</v>
      </c>
      <c r="D179" s="49">
        <f>'Quick calculator Profile'!E12</f>
        <v>0</v>
      </c>
      <c r="E179" s="49">
        <f>'Quick calculator Profile'!F12</f>
        <v>0</v>
      </c>
    </row>
    <row r="180" spans="1:7" x14ac:dyDescent="0.25">
      <c r="A180" s="8" t="s">
        <v>26</v>
      </c>
      <c r="B180" s="49">
        <f>'Quick calculator Profile'!C13</f>
        <v>0</v>
      </c>
      <c r="C180" s="49">
        <f>'Quick calculator Profile'!D13</f>
        <v>0</v>
      </c>
      <c r="D180" s="49">
        <f>'Quick calculator Profile'!E13</f>
        <v>0</v>
      </c>
      <c r="E180" s="49">
        <f>'Quick calculator Profile'!F13</f>
        <v>0</v>
      </c>
    </row>
    <row r="181" spans="1:7" x14ac:dyDescent="0.25">
      <c r="A181" s="8" t="s">
        <v>28</v>
      </c>
      <c r="B181" s="49">
        <f>'Quick calculator Profile'!C14</f>
        <v>0</v>
      </c>
      <c r="C181" s="49">
        <f>'Quick calculator Profile'!D14</f>
        <v>0</v>
      </c>
      <c r="D181" s="49">
        <f>'Quick calculator Profile'!E14</f>
        <v>0</v>
      </c>
      <c r="E181" s="49">
        <f>'Quick calculator Profile'!F14</f>
        <v>0</v>
      </c>
    </row>
    <row r="182" spans="1:7" x14ac:dyDescent="0.25">
      <c r="A182" s="8" t="s">
        <v>30</v>
      </c>
      <c r="B182" s="49">
        <f>'Quick calculator Profile'!C15</f>
        <v>0</v>
      </c>
      <c r="C182" s="49">
        <f>'Quick calculator Profile'!D15</f>
        <v>0</v>
      </c>
      <c r="D182" s="49">
        <f>'Quick calculator Profile'!E15</f>
        <v>0</v>
      </c>
      <c r="E182" s="49">
        <f>'Quick calculator Profile'!F15</f>
        <v>0</v>
      </c>
    </row>
    <row r="183" spans="1:7" x14ac:dyDescent="0.25">
      <c r="A183" s="8" t="s">
        <v>32</v>
      </c>
      <c r="B183" s="49">
        <f>'Quick calculator Profile'!C16</f>
        <v>0</v>
      </c>
      <c r="C183" s="49">
        <f>'Quick calculator Profile'!D16</f>
        <v>0</v>
      </c>
      <c r="D183" s="49">
        <f>'Quick calculator Profile'!E16</f>
        <v>0</v>
      </c>
      <c r="E183" s="49">
        <f>'Quick calculator Profile'!F16</f>
        <v>0</v>
      </c>
    </row>
    <row r="184" spans="1:7" x14ac:dyDescent="0.25">
      <c r="A184" s="8" t="s">
        <v>34</v>
      </c>
      <c r="B184" s="49">
        <f>'Quick calculator Profile'!C17</f>
        <v>0</v>
      </c>
      <c r="C184" s="49">
        <f>'Quick calculator Profile'!D17</f>
        <v>0</v>
      </c>
      <c r="D184" s="49">
        <f>'Quick calculator Profile'!E17</f>
        <v>0</v>
      </c>
      <c r="E184" s="49">
        <f>'Quick calculator Profile'!F17</f>
        <v>0</v>
      </c>
    </row>
    <row r="185" spans="1:7" x14ac:dyDescent="0.25">
      <c r="A185" s="8" t="s">
        <v>35</v>
      </c>
      <c r="B185" s="49">
        <f>'Quick calculator Profile'!C18</f>
        <v>0</v>
      </c>
      <c r="C185" s="49">
        <f>'Quick calculator Profile'!D18</f>
        <v>0</v>
      </c>
      <c r="D185" s="49">
        <f>'Quick calculator Profile'!E18</f>
        <v>0</v>
      </c>
      <c r="E185" s="49">
        <f>'Quick calculator Profile'!F18</f>
        <v>0</v>
      </c>
    </row>
    <row r="186" spans="1:7" x14ac:dyDescent="0.25">
      <c r="B186" s="50" t="s">
        <v>146</v>
      </c>
      <c r="C186" s="30"/>
    </row>
    <row r="187" spans="1:7" x14ac:dyDescent="0.25">
      <c r="C187" s="30"/>
    </row>
    <row r="188" spans="1:7" ht="18.75" x14ac:dyDescent="0.3">
      <c r="A188" s="28" t="s">
        <v>59</v>
      </c>
      <c r="B188" s="4" t="str">
        <f>B107</f>
        <v>The shipper capacity per category type can be calculated through: Capacity = Standard Yearly Usage * Hourly Fraction * Fit factor</v>
      </c>
    </row>
    <row r="189" spans="1:7" ht="18.75" x14ac:dyDescent="0.3">
      <c r="A189" s="28"/>
      <c r="B189" s="4"/>
    </row>
    <row r="190" spans="1:7" x14ac:dyDescent="0.25">
      <c r="C190" s="30"/>
    </row>
    <row r="191" spans="1:7" x14ac:dyDescent="0.25">
      <c r="B191" s="190" t="s">
        <v>147</v>
      </c>
      <c r="C191" s="190"/>
      <c r="D191" s="190"/>
      <c r="E191" s="190"/>
    </row>
    <row r="192" spans="1:7" ht="60" x14ac:dyDescent="0.25">
      <c r="A192" s="32" t="s">
        <v>41</v>
      </c>
      <c r="B192" s="35" t="s">
        <v>135</v>
      </c>
      <c r="C192" s="35" t="s">
        <v>136</v>
      </c>
      <c r="D192" s="35" t="s">
        <v>137</v>
      </c>
      <c r="E192" s="35" t="s">
        <v>138</v>
      </c>
      <c r="F192" s="36" t="s">
        <v>148</v>
      </c>
      <c r="G192" s="36" t="s">
        <v>149</v>
      </c>
    </row>
    <row r="193" spans="1:9" x14ac:dyDescent="0.25">
      <c r="A193" s="8" t="s">
        <v>16</v>
      </c>
      <c r="B193" s="51">
        <f>B174*C15</f>
        <v>0</v>
      </c>
      <c r="C193" s="51">
        <f>C174*D15</f>
        <v>0</v>
      </c>
      <c r="D193" s="51">
        <f t="shared" ref="B193:D204" si="25">D174*E15</f>
        <v>0</v>
      </c>
      <c r="E193" s="51">
        <f>E174*E15</f>
        <v>0</v>
      </c>
      <c r="F193" s="51">
        <f>SUM(B193:E193)</f>
        <v>0</v>
      </c>
      <c r="G193" s="52">
        <f>F193*B156</f>
        <v>0</v>
      </c>
      <c r="I193" s="21"/>
    </row>
    <row r="194" spans="1:9" x14ac:dyDescent="0.25">
      <c r="A194" s="8" t="s">
        <v>18</v>
      </c>
      <c r="B194" s="51">
        <f t="shared" si="25"/>
        <v>0</v>
      </c>
      <c r="C194" s="51">
        <f t="shared" si="25"/>
        <v>0</v>
      </c>
      <c r="D194" s="51">
        <f t="shared" si="25"/>
        <v>0</v>
      </c>
      <c r="E194" s="51">
        <f t="shared" ref="E194:E204" si="26">E175*E16</f>
        <v>0</v>
      </c>
      <c r="F194" s="51">
        <f t="shared" ref="F194:F204" si="27">SUM(B194:E194)</f>
        <v>0</v>
      </c>
      <c r="G194" s="52">
        <f t="shared" ref="G194:G204" si="28">F194*B157</f>
        <v>0</v>
      </c>
      <c r="I194" s="21"/>
    </row>
    <row r="195" spans="1:9" x14ac:dyDescent="0.25">
      <c r="A195" s="8" t="s">
        <v>20</v>
      </c>
      <c r="B195" s="51">
        <f t="shared" si="25"/>
        <v>0</v>
      </c>
      <c r="C195" s="51">
        <f t="shared" si="25"/>
        <v>0</v>
      </c>
      <c r="D195" s="51">
        <f t="shared" si="25"/>
        <v>0</v>
      </c>
      <c r="E195" s="51">
        <f t="shared" si="26"/>
        <v>0</v>
      </c>
      <c r="F195" s="51">
        <f t="shared" si="27"/>
        <v>0</v>
      </c>
      <c r="G195" s="52">
        <f t="shared" si="28"/>
        <v>0</v>
      </c>
      <c r="I195" s="21"/>
    </row>
    <row r="196" spans="1:9" x14ac:dyDescent="0.25">
      <c r="A196" s="8" t="s">
        <v>22</v>
      </c>
      <c r="B196" s="51">
        <f t="shared" si="25"/>
        <v>0</v>
      </c>
      <c r="C196" s="51">
        <f t="shared" si="25"/>
        <v>0</v>
      </c>
      <c r="D196" s="51">
        <f t="shared" si="25"/>
        <v>0</v>
      </c>
      <c r="E196" s="51">
        <f t="shared" si="26"/>
        <v>0</v>
      </c>
      <c r="F196" s="51">
        <f t="shared" si="27"/>
        <v>0</v>
      </c>
      <c r="G196" s="52">
        <f t="shared" si="28"/>
        <v>0</v>
      </c>
      <c r="I196" s="21"/>
    </row>
    <row r="197" spans="1:9" x14ac:dyDescent="0.25">
      <c r="A197" s="8" t="s">
        <v>24</v>
      </c>
      <c r="B197" s="51">
        <f t="shared" si="25"/>
        <v>0</v>
      </c>
      <c r="C197" s="51">
        <f t="shared" si="25"/>
        <v>0</v>
      </c>
      <c r="D197" s="51">
        <f t="shared" si="25"/>
        <v>0</v>
      </c>
      <c r="E197" s="51">
        <f t="shared" si="26"/>
        <v>0</v>
      </c>
      <c r="F197" s="51">
        <f t="shared" si="27"/>
        <v>0</v>
      </c>
      <c r="G197" s="52">
        <f t="shared" si="28"/>
        <v>0</v>
      </c>
      <c r="I197" s="21"/>
    </row>
    <row r="198" spans="1:9" x14ac:dyDescent="0.25">
      <c r="A198" s="8" t="s">
        <v>25</v>
      </c>
      <c r="B198" s="51">
        <f t="shared" si="25"/>
        <v>0</v>
      </c>
      <c r="C198" s="51">
        <f t="shared" si="25"/>
        <v>0</v>
      </c>
      <c r="D198" s="51">
        <f t="shared" si="25"/>
        <v>0</v>
      </c>
      <c r="E198" s="51">
        <f t="shared" si="26"/>
        <v>0</v>
      </c>
      <c r="F198" s="51">
        <f t="shared" si="27"/>
        <v>0</v>
      </c>
      <c r="G198" s="52">
        <f t="shared" si="28"/>
        <v>0</v>
      </c>
      <c r="I198" s="21"/>
    </row>
    <row r="199" spans="1:9" x14ac:dyDescent="0.25">
      <c r="A199" s="8" t="s">
        <v>26</v>
      </c>
      <c r="B199" s="51">
        <f t="shared" si="25"/>
        <v>0</v>
      </c>
      <c r="C199" s="51">
        <f t="shared" si="25"/>
        <v>0</v>
      </c>
      <c r="D199" s="51">
        <f t="shared" si="25"/>
        <v>0</v>
      </c>
      <c r="E199" s="51">
        <f t="shared" si="26"/>
        <v>0</v>
      </c>
      <c r="F199" s="51">
        <f t="shared" si="27"/>
        <v>0</v>
      </c>
      <c r="G199" s="52">
        <f t="shared" si="28"/>
        <v>0</v>
      </c>
      <c r="I199" s="21"/>
    </row>
    <row r="200" spans="1:9" x14ac:dyDescent="0.25">
      <c r="A200" s="8" t="s">
        <v>28</v>
      </c>
      <c r="B200" s="51">
        <f t="shared" si="25"/>
        <v>0</v>
      </c>
      <c r="C200" s="51">
        <f t="shared" si="25"/>
        <v>0</v>
      </c>
      <c r="D200" s="51">
        <f t="shared" si="25"/>
        <v>0</v>
      </c>
      <c r="E200" s="51">
        <f t="shared" si="26"/>
        <v>0</v>
      </c>
      <c r="F200" s="51">
        <f t="shared" si="27"/>
        <v>0</v>
      </c>
      <c r="G200" s="52">
        <f t="shared" si="28"/>
        <v>0</v>
      </c>
      <c r="I200" s="21"/>
    </row>
    <row r="201" spans="1:9" x14ac:dyDescent="0.25">
      <c r="A201" s="8" t="s">
        <v>30</v>
      </c>
      <c r="B201" s="51">
        <f t="shared" si="25"/>
        <v>0</v>
      </c>
      <c r="C201" s="51">
        <f t="shared" si="25"/>
        <v>0</v>
      </c>
      <c r="D201" s="51">
        <f t="shared" si="25"/>
        <v>0</v>
      </c>
      <c r="E201" s="51">
        <f t="shared" si="26"/>
        <v>0</v>
      </c>
      <c r="F201" s="51">
        <f t="shared" si="27"/>
        <v>0</v>
      </c>
      <c r="G201" s="52">
        <f t="shared" si="28"/>
        <v>0</v>
      </c>
      <c r="I201" s="21"/>
    </row>
    <row r="202" spans="1:9" x14ac:dyDescent="0.25">
      <c r="A202" s="8" t="s">
        <v>32</v>
      </c>
      <c r="B202" s="51">
        <f t="shared" si="25"/>
        <v>0</v>
      </c>
      <c r="C202" s="51">
        <f t="shared" si="25"/>
        <v>0</v>
      </c>
      <c r="D202" s="51">
        <f t="shared" si="25"/>
        <v>0</v>
      </c>
      <c r="E202" s="51">
        <f t="shared" si="26"/>
        <v>0</v>
      </c>
      <c r="F202" s="51">
        <f t="shared" si="27"/>
        <v>0</v>
      </c>
      <c r="G202" s="52">
        <f t="shared" si="28"/>
        <v>0</v>
      </c>
      <c r="I202" s="21"/>
    </row>
    <row r="203" spans="1:9" x14ac:dyDescent="0.25">
      <c r="A203" s="8" t="s">
        <v>34</v>
      </c>
      <c r="B203" s="51">
        <f t="shared" si="25"/>
        <v>0</v>
      </c>
      <c r="C203" s="51">
        <f t="shared" si="25"/>
        <v>0</v>
      </c>
      <c r="D203" s="51">
        <f t="shared" si="25"/>
        <v>0</v>
      </c>
      <c r="E203" s="51">
        <f t="shared" si="26"/>
        <v>0</v>
      </c>
      <c r="F203" s="51">
        <f t="shared" si="27"/>
        <v>0</v>
      </c>
      <c r="G203" s="52">
        <f t="shared" si="28"/>
        <v>0</v>
      </c>
      <c r="I203" s="21"/>
    </row>
    <row r="204" spans="1:9" x14ac:dyDescent="0.25">
      <c r="A204" s="8" t="s">
        <v>35</v>
      </c>
      <c r="B204" s="51">
        <f t="shared" si="25"/>
        <v>0</v>
      </c>
      <c r="C204" s="51">
        <f t="shared" si="25"/>
        <v>0</v>
      </c>
      <c r="D204" s="51">
        <f t="shared" si="25"/>
        <v>0</v>
      </c>
      <c r="E204" s="51">
        <f t="shared" si="26"/>
        <v>0</v>
      </c>
      <c r="F204" s="51">
        <f t="shared" si="27"/>
        <v>0</v>
      </c>
      <c r="G204" s="52">
        <f t="shared" si="28"/>
        <v>0</v>
      </c>
      <c r="I204" s="21"/>
    </row>
    <row r="205" spans="1:9" x14ac:dyDescent="0.25">
      <c r="C205" s="30"/>
    </row>
    <row r="206" spans="1:9" x14ac:dyDescent="0.25">
      <c r="C206" s="30"/>
    </row>
    <row r="207" spans="1:9" ht="18.75" x14ac:dyDescent="0.3">
      <c r="A207" s="28" t="s">
        <v>62</v>
      </c>
      <c r="B207" s="4" t="str">
        <f>B108</f>
        <v>The determined total monthly capacity for shipper will be converted to standard capacity products using the split factors and the booking factor, e.g. Year product = capacity * split factor Year * booking factor.</v>
      </c>
    </row>
    <row r="208" spans="1:9" ht="18.75" x14ac:dyDescent="0.3">
      <c r="B208" s="4" t="str">
        <f>B109</f>
        <v>These products will be contracted</v>
      </c>
      <c r="C208" s="30"/>
    </row>
    <row r="210" spans="1:14" x14ac:dyDescent="0.25">
      <c r="B210" s="181" t="s">
        <v>95</v>
      </c>
      <c r="C210" s="182"/>
      <c r="D210" s="183"/>
    </row>
    <row r="211" spans="1:14" ht="15.75" thickBot="1" x14ac:dyDescent="0.3">
      <c r="A211" s="32" t="s">
        <v>41</v>
      </c>
      <c r="B211" s="33" t="s">
        <v>70</v>
      </c>
      <c r="C211" s="33" t="s">
        <v>71</v>
      </c>
      <c r="D211" s="33" t="s">
        <v>72</v>
      </c>
      <c r="N211" s="7"/>
    </row>
    <row r="212" spans="1:14" x14ac:dyDescent="0.25">
      <c r="A212" s="8" t="s">
        <v>16</v>
      </c>
      <c r="B212" s="53">
        <f>ROUND(G193*B80*G80,0)</f>
        <v>0</v>
      </c>
      <c r="C212" s="53">
        <f t="shared" ref="C212:C223" si="29">ROUND(G193*C80*G80,0)</f>
        <v>0</v>
      </c>
      <c r="D212" s="53">
        <f t="shared" ref="D212:D223" si="30">ROUND(G193*D80*G80,0)</f>
        <v>0</v>
      </c>
      <c r="F212" s="21"/>
    </row>
    <row r="213" spans="1:14" x14ac:dyDescent="0.25">
      <c r="A213" s="8" t="s">
        <v>18</v>
      </c>
      <c r="B213" s="53">
        <f t="shared" ref="B213:B223" si="31">ROUND(G194*B81*G81,0)</f>
        <v>0</v>
      </c>
      <c r="C213" s="53">
        <f t="shared" si="29"/>
        <v>0</v>
      </c>
      <c r="D213" s="53">
        <f t="shared" si="30"/>
        <v>0</v>
      </c>
      <c r="F213" s="21"/>
    </row>
    <row r="214" spans="1:14" x14ac:dyDescent="0.25">
      <c r="A214" s="8" t="s">
        <v>20</v>
      </c>
      <c r="B214" s="53">
        <f t="shared" si="31"/>
        <v>0</v>
      </c>
      <c r="C214" s="53">
        <f t="shared" si="29"/>
        <v>0</v>
      </c>
      <c r="D214" s="53">
        <f t="shared" si="30"/>
        <v>0</v>
      </c>
      <c r="F214" s="21"/>
    </row>
    <row r="215" spans="1:14" x14ac:dyDescent="0.25">
      <c r="A215" s="8" t="s">
        <v>22</v>
      </c>
      <c r="B215" s="53">
        <f t="shared" si="31"/>
        <v>0</v>
      </c>
      <c r="C215" s="53">
        <f t="shared" si="29"/>
        <v>0</v>
      </c>
      <c r="D215" s="53">
        <f t="shared" si="30"/>
        <v>0</v>
      </c>
      <c r="F215" s="21"/>
    </row>
    <row r="216" spans="1:14" x14ac:dyDescent="0.25">
      <c r="A216" s="8" t="s">
        <v>24</v>
      </c>
      <c r="B216" s="53">
        <f t="shared" si="31"/>
        <v>0</v>
      </c>
      <c r="C216" s="53">
        <f t="shared" si="29"/>
        <v>0</v>
      </c>
      <c r="D216" s="53">
        <f t="shared" si="30"/>
        <v>0</v>
      </c>
      <c r="F216" s="21"/>
    </row>
    <row r="217" spans="1:14" x14ac:dyDescent="0.25">
      <c r="A217" s="8" t="s">
        <v>25</v>
      </c>
      <c r="B217" s="53">
        <f t="shared" si="31"/>
        <v>0</v>
      </c>
      <c r="C217" s="53">
        <f t="shared" si="29"/>
        <v>0</v>
      </c>
      <c r="D217" s="53">
        <f t="shared" si="30"/>
        <v>0</v>
      </c>
      <c r="F217" s="21"/>
    </row>
    <row r="218" spans="1:14" x14ac:dyDescent="0.25">
      <c r="A218" s="8" t="s">
        <v>26</v>
      </c>
      <c r="B218" s="53">
        <f t="shared" si="31"/>
        <v>0</v>
      </c>
      <c r="C218" s="53">
        <f t="shared" si="29"/>
        <v>0</v>
      </c>
      <c r="D218" s="53">
        <f t="shared" si="30"/>
        <v>0</v>
      </c>
      <c r="F218" s="21"/>
    </row>
    <row r="219" spans="1:14" x14ac:dyDescent="0.25">
      <c r="A219" s="8" t="s">
        <v>28</v>
      </c>
      <c r="B219" s="53">
        <f t="shared" si="31"/>
        <v>0</v>
      </c>
      <c r="C219" s="53">
        <f t="shared" si="29"/>
        <v>0</v>
      </c>
      <c r="D219" s="53">
        <f t="shared" si="30"/>
        <v>0</v>
      </c>
      <c r="F219" s="21"/>
    </row>
    <row r="220" spans="1:14" x14ac:dyDescent="0.25">
      <c r="A220" s="8" t="s">
        <v>30</v>
      </c>
      <c r="B220" s="53">
        <f t="shared" si="31"/>
        <v>0</v>
      </c>
      <c r="C220" s="53">
        <f t="shared" si="29"/>
        <v>0</v>
      </c>
      <c r="D220" s="53">
        <f t="shared" si="30"/>
        <v>0</v>
      </c>
      <c r="F220" s="21"/>
    </row>
    <row r="221" spans="1:14" x14ac:dyDescent="0.25">
      <c r="A221" s="8" t="s">
        <v>32</v>
      </c>
      <c r="B221" s="53">
        <f t="shared" si="31"/>
        <v>0</v>
      </c>
      <c r="C221" s="53">
        <f t="shared" si="29"/>
        <v>0</v>
      </c>
      <c r="D221" s="53">
        <f t="shared" si="30"/>
        <v>0</v>
      </c>
      <c r="F221" s="21"/>
    </row>
    <row r="222" spans="1:14" x14ac:dyDescent="0.25">
      <c r="A222" s="8" t="s">
        <v>34</v>
      </c>
      <c r="B222" s="53">
        <f t="shared" si="31"/>
        <v>0</v>
      </c>
      <c r="C222" s="53">
        <f t="shared" si="29"/>
        <v>0</v>
      </c>
      <c r="D222" s="53">
        <f t="shared" si="30"/>
        <v>0</v>
      </c>
      <c r="F222" s="21"/>
    </row>
    <row r="223" spans="1:14" x14ac:dyDescent="0.25">
      <c r="A223" s="8" t="s">
        <v>35</v>
      </c>
      <c r="B223" s="53">
        <f t="shared" si="31"/>
        <v>0</v>
      </c>
      <c r="C223" s="53">
        <f t="shared" si="29"/>
        <v>0</v>
      </c>
      <c r="D223" s="53">
        <f t="shared" si="30"/>
        <v>0</v>
      </c>
      <c r="F223" s="21"/>
    </row>
    <row r="226" spans="1:15" ht="18.75" x14ac:dyDescent="0.3">
      <c r="A226" s="28" t="s">
        <v>130</v>
      </c>
      <c r="B226" s="4" t="str">
        <f>B110</f>
        <v>Based on the standard capacity products the costs per month can be calculated</v>
      </c>
    </row>
    <row r="227" spans="1:15" x14ac:dyDescent="0.25">
      <c r="A227" s="1"/>
    </row>
    <row r="229" spans="1:15" ht="30" customHeight="1" x14ac:dyDescent="0.25">
      <c r="B229" s="187" t="s">
        <v>96</v>
      </c>
      <c r="C229" s="188"/>
      <c r="D229" s="188"/>
      <c r="E229" s="189"/>
    </row>
    <row r="230" spans="1:15" ht="15.75" thickBot="1" x14ac:dyDescent="0.3">
      <c r="A230" s="32" t="s">
        <v>41</v>
      </c>
      <c r="B230" s="33" t="s">
        <v>70</v>
      </c>
      <c r="C230" s="33" t="s">
        <v>71</v>
      </c>
      <c r="D230" s="33" t="s">
        <v>72</v>
      </c>
      <c r="E230" s="34" t="s">
        <v>97</v>
      </c>
      <c r="O230" s="7"/>
    </row>
    <row r="231" spans="1:15" x14ac:dyDescent="0.25">
      <c r="A231" s="8" t="s">
        <v>16</v>
      </c>
      <c r="B231" s="54">
        <f>B212*Tariffs!B6*Tariffs!E6/Tariffs!G6</f>
        <v>0</v>
      </c>
      <c r="C231" s="54">
        <f>C212*Tariffs!C6*Tariffs!E6/Tariffs!F6</f>
        <v>0</v>
      </c>
      <c r="D231" s="54">
        <f>D212*Tariffs!D6</f>
        <v>0</v>
      </c>
      <c r="E231" s="55">
        <f>SUM(B231:D231)</f>
        <v>0</v>
      </c>
    </row>
    <row r="232" spans="1:15" x14ac:dyDescent="0.25">
      <c r="A232" s="8" t="s">
        <v>18</v>
      </c>
      <c r="B232" s="54">
        <f>B213*Tariffs!B7*Tariffs!E7/Tariffs!G7</f>
        <v>0</v>
      </c>
      <c r="C232" s="54">
        <f>C213*Tariffs!C7*Tariffs!E7/Tariffs!F7</f>
        <v>0</v>
      </c>
      <c r="D232" s="54">
        <f>D213*Tariffs!D7</f>
        <v>0</v>
      </c>
      <c r="E232" s="55">
        <f t="shared" ref="E232:E240" si="32">SUM(B232:D232)</f>
        <v>0</v>
      </c>
    </row>
    <row r="233" spans="1:15" x14ac:dyDescent="0.25">
      <c r="A233" s="8" t="s">
        <v>20</v>
      </c>
      <c r="B233" s="54">
        <f>B214*Tariffs!B8*Tariffs!E8/Tariffs!G8</f>
        <v>0</v>
      </c>
      <c r="C233" s="54">
        <f>C214*Tariffs!C8*Tariffs!E8/Tariffs!F8</f>
        <v>0</v>
      </c>
      <c r="D233" s="54">
        <f>D214*Tariffs!D8</f>
        <v>0</v>
      </c>
      <c r="E233" s="55">
        <f t="shared" si="32"/>
        <v>0</v>
      </c>
    </row>
    <row r="234" spans="1:15" x14ac:dyDescent="0.25">
      <c r="A234" s="8" t="s">
        <v>22</v>
      </c>
      <c r="B234" s="54">
        <f>B215*Tariffs!B9*Tariffs!E9/Tariffs!G9</f>
        <v>0</v>
      </c>
      <c r="C234" s="54">
        <f>C215*Tariffs!C9*Tariffs!E9/Tariffs!F9</f>
        <v>0</v>
      </c>
      <c r="D234" s="54">
        <f>D215*Tariffs!D9</f>
        <v>0</v>
      </c>
      <c r="E234" s="55">
        <f t="shared" si="32"/>
        <v>0</v>
      </c>
    </row>
    <row r="235" spans="1:15" x14ac:dyDescent="0.25">
      <c r="A235" s="8" t="s">
        <v>24</v>
      </c>
      <c r="B235" s="54">
        <f>B216*Tariffs!B10*Tariffs!E10/Tariffs!G10</f>
        <v>0</v>
      </c>
      <c r="C235" s="54">
        <f>C216*Tariffs!C10*Tariffs!E10/Tariffs!F10</f>
        <v>0</v>
      </c>
      <c r="D235" s="54">
        <f>D216*Tariffs!D10</f>
        <v>0</v>
      </c>
      <c r="E235" s="55">
        <f t="shared" si="32"/>
        <v>0</v>
      </c>
    </row>
    <row r="236" spans="1:15" x14ac:dyDescent="0.25">
      <c r="A236" s="8" t="s">
        <v>25</v>
      </c>
      <c r="B236" s="54">
        <f>B217*Tariffs!B11*Tariffs!E11/Tariffs!G11</f>
        <v>0</v>
      </c>
      <c r="C236" s="54">
        <f>C217*Tariffs!C11*Tariffs!E11/Tariffs!F11</f>
        <v>0</v>
      </c>
      <c r="D236" s="54">
        <f>D217*Tariffs!D11</f>
        <v>0</v>
      </c>
      <c r="E236" s="55">
        <f t="shared" si="32"/>
        <v>0</v>
      </c>
    </row>
    <row r="237" spans="1:15" x14ac:dyDescent="0.25">
      <c r="A237" s="8" t="s">
        <v>26</v>
      </c>
      <c r="B237" s="54">
        <f>B218*Tariffs!B12*Tariffs!E12/Tariffs!G12</f>
        <v>0</v>
      </c>
      <c r="C237" s="54">
        <f>C218*Tariffs!C12*Tariffs!E12/Tariffs!F12</f>
        <v>0</v>
      </c>
      <c r="D237" s="54">
        <f>D218*Tariffs!D12</f>
        <v>0</v>
      </c>
      <c r="E237" s="55">
        <f t="shared" si="32"/>
        <v>0</v>
      </c>
    </row>
    <row r="238" spans="1:15" x14ac:dyDescent="0.25">
      <c r="A238" s="8" t="s">
        <v>28</v>
      </c>
      <c r="B238" s="54">
        <f>B219*Tariffs!B13*Tariffs!E13/Tariffs!G13</f>
        <v>0</v>
      </c>
      <c r="C238" s="54">
        <f>C219*Tariffs!C13*Tariffs!E13/Tariffs!F13</f>
        <v>0</v>
      </c>
      <c r="D238" s="54">
        <f>D219*Tariffs!D13</f>
        <v>0</v>
      </c>
      <c r="E238" s="55">
        <f t="shared" si="32"/>
        <v>0</v>
      </c>
    </row>
    <row r="239" spans="1:15" x14ac:dyDescent="0.25">
      <c r="A239" s="8" t="s">
        <v>30</v>
      </c>
      <c r="B239" s="54">
        <f>B220*Tariffs!B14*Tariffs!E14/Tariffs!G14</f>
        <v>0</v>
      </c>
      <c r="C239" s="54">
        <f>C220*Tariffs!C14*Tariffs!E14/Tariffs!F14</f>
        <v>0</v>
      </c>
      <c r="D239" s="54">
        <f>D220*Tariffs!D14</f>
        <v>0</v>
      </c>
      <c r="E239" s="55">
        <f t="shared" si="32"/>
        <v>0</v>
      </c>
    </row>
    <row r="240" spans="1:15" x14ac:dyDescent="0.25">
      <c r="A240" s="8" t="s">
        <v>32</v>
      </c>
      <c r="B240" s="54">
        <f>B221*Tariffs!B15*Tariffs!E15/Tariffs!G15</f>
        <v>0</v>
      </c>
      <c r="C240" s="54">
        <f>C221*Tariffs!C15*Tariffs!E15/Tariffs!F15</f>
        <v>0</v>
      </c>
      <c r="D240" s="54">
        <f>D221*Tariffs!D15</f>
        <v>0</v>
      </c>
      <c r="E240" s="55">
        <f t="shared" si="32"/>
        <v>0</v>
      </c>
    </row>
    <row r="241" spans="1:7" x14ac:dyDescent="0.25">
      <c r="A241" s="8" t="s">
        <v>34</v>
      </c>
      <c r="B241" s="54">
        <f>B222*Tariffs!B16*Tariffs!E16/Tariffs!G16</f>
        <v>0</v>
      </c>
      <c r="C241" s="54">
        <f>C222*Tariffs!C16*Tariffs!E16/Tariffs!F16</f>
        <v>0</v>
      </c>
      <c r="D241" s="54">
        <f>D222*Tariffs!D16</f>
        <v>0</v>
      </c>
      <c r="E241" s="55">
        <f>SUM(B241:D241)</f>
        <v>0</v>
      </c>
    </row>
    <row r="242" spans="1:7" x14ac:dyDescent="0.25">
      <c r="A242" s="8" t="s">
        <v>35</v>
      </c>
      <c r="B242" s="54">
        <f>B223*Tariffs!B17*Tariffs!E17/Tariffs!G17</f>
        <v>0</v>
      </c>
      <c r="C242" s="54">
        <f>C223*Tariffs!C17*Tariffs!E17/Tariffs!F17</f>
        <v>0</v>
      </c>
      <c r="D242" s="54">
        <f>D223*Tariffs!D17</f>
        <v>0</v>
      </c>
      <c r="E242" s="55">
        <f t="shared" ref="E242" si="33">SUM(B242:D242)</f>
        <v>0</v>
      </c>
    </row>
    <row r="243" spans="1:7" x14ac:dyDescent="0.25">
      <c r="E243" s="41">
        <f>SUM(E231:E242)</f>
        <v>0</v>
      </c>
      <c r="G243" s="21"/>
    </row>
  </sheetData>
  <mergeCells count="5">
    <mergeCell ref="B78:D78"/>
    <mergeCell ref="B38:E38"/>
    <mergeCell ref="B229:E229"/>
    <mergeCell ref="B210:D210"/>
    <mergeCell ref="B191:E191"/>
  </mergeCells>
  <hyperlinks>
    <hyperlink ref="I7" r:id="rId1" xr:uid="{E45A6683-D956-4750-9AD8-0A91C0001978}"/>
    <hyperlink ref="F4" r:id="rId2" xr:uid="{897D01CF-4463-415F-83FA-CC42C11FA67B}"/>
  </hyperlinks>
  <pageMargins left="0.7" right="0.7" top="0.75" bottom="0.75" header="0.3" footer="0.3"/>
  <pageSetup paperSize="9" orientation="portrait" r:id="rId3"/>
  <headerFooter>
    <oddFooter>&amp;C_x000D_&amp;1#&amp;"Calibri"&amp;10&amp;K000000 Strikt Vertrouwelijk/Highly Confidential</oddFooter>
  </headerFooter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F9F4B-B8C5-4317-8E4F-D0EC664482CF}">
  <dimension ref="A3:G31"/>
  <sheetViews>
    <sheetView workbookViewId="0"/>
  </sheetViews>
  <sheetFormatPr defaultRowHeight="15" x14ac:dyDescent="0.25"/>
  <cols>
    <col min="1" max="1" width="10.85546875" bestFit="1" customWidth="1"/>
    <col min="2" max="2" width="16.85546875" bestFit="1" customWidth="1"/>
    <col min="3" max="3" width="14.140625" bestFit="1" customWidth="1"/>
    <col min="4" max="4" width="19" bestFit="1" customWidth="1"/>
  </cols>
  <sheetData>
    <row r="3" spans="1:7" x14ac:dyDescent="0.25">
      <c r="A3" s="13" t="s">
        <v>150</v>
      </c>
      <c r="B3" s="62" t="s">
        <v>151</v>
      </c>
      <c r="C3" s="20"/>
      <c r="D3" s="20"/>
      <c r="E3" s="20"/>
    </row>
    <row r="4" spans="1:7" x14ac:dyDescent="0.25">
      <c r="A4" s="62" t="s">
        <v>152</v>
      </c>
      <c r="B4" s="13" t="s">
        <v>76</v>
      </c>
      <c r="C4" s="13" t="s">
        <v>77</v>
      </c>
      <c r="D4" s="13" t="s">
        <v>41</v>
      </c>
      <c r="E4" s="181" t="s">
        <v>153</v>
      </c>
      <c r="F4" s="182"/>
      <c r="G4" s="183"/>
    </row>
    <row r="5" spans="1:7" x14ac:dyDescent="0.25">
      <c r="A5" s="20"/>
      <c r="B5" s="20" t="s">
        <v>154</v>
      </c>
      <c r="C5" s="20" t="s">
        <v>155</v>
      </c>
      <c r="D5" s="20" t="s">
        <v>156</v>
      </c>
      <c r="E5" s="20" t="s">
        <v>41</v>
      </c>
      <c r="F5" s="14" t="s">
        <v>77</v>
      </c>
      <c r="G5" s="14" t="s">
        <v>76</v>
      </c>
    </row>
    <row r="6" spans="1:7" x14ac:dyDescent="0.25">
      <c r="A6" s="8" t="s">
        <v>16</v>
      </c>
      <c r="B6" s="138">
        <v>2.1875042200000001</v>
      </c>
      <c r="C6" s="139">
        <v>1.0558219200000001</v>
      </c>
      <c r="D6" s="139">
        <v>0.49608829999999998</v>
      </c>
      <c r="E6" s="14">
        <v>31</v>
      </c>
      <c r="F6" s="14">
        <v>91</v>
      </c>
      <c r="G6" s="14">
        <v>366</v>
      </c>
    </row>
    <row r="7" spans="1:7" x14ac:dyDescent="0.25">
      <c r="A7" s="8" t="s">
        <v>18</v>
      </c>
      <c r="B7" s="138">
        <v>2.1875042200000001</v>
      </c>
      <c r="C7" s="139">
        <v>1.0558219200000001</v>
      </c>
      <c r="D7" s="139">
        <v>0.43340376000000003</v>
      </c>
      <c r="E7" s="14">
        <v>29</v>
      </c>
      <c r="F7" s="14">
        <v>91</v>
      </c>
      <c r="G7" s="14">
        <v>366</v>
      </c>
    </row>
    <row r="8" spans="1:7" x14ac:dyDescent="0.25">
      <c r="A8" s="8" t="s">
        <v>20</v>
      </c>
      <c r="B8" s="138">
        <v>2.1875042200000001</v>
      </c>
      <c r="C8" s="139">
        <v>1.0558219200000001</v>
      </c>
      <c r="D8" s="139">
        <v>0.33545018999999998</v>
      </c>
      <c r="E8" s="14">
        <v>31</v>
      </c>
      <c r="F8" s="14">
        <v>91</v>
      </c>
      <c r="G8" s="14">
        <v>366</v>
      </c>
    </row>
    <row r="9" spans="1:7" x14ac:dyDescent="0.25">
      <c r="A9" s="8" t="s">
        <v>22</v>
      </c>
      <c r="B9" s="138">
        <v>2.1875042200000001</v>
      </c>
      <c r="C9" s="139">
        <v>0.48406001999999998</v>
      </c>
      <c r="D9" s="139">
        <v>0.23103272</v>
      </c>
      <c r="E9" s="14">
        <v>30</v>
      </c>
      <c r="F9" s="14">
        <v>91</v>
      </c>
      <c r="G9" s="14">
        <v>366</v>
      </c>
    </row>
    <row r="10" spans="1:7" x14ac:dyDescent="0.25">
      <c r="A10" s="8" t="s">
        <v>24</v>
      </c>
      <c r="B10" s="138">
        <v>2.1875042200000001</v>
      </c>
      <c r="C10" s="139">
        <v>0.48406002000000004</v>
      </c>
      <c r="D10" s="139">
        <v>0.18787433000000001</v>
      </c>
      <c r="E10" s="14">
        <v>31</v>
      </c>
      <c r="F10" s="14">
        <v>91</v>
      </c>
      <c r="G10" s="14">
        <v>366</v>
      </c>
    </row>
    <row r="11" spans="1:7" x14ac:dyDescent="0.25">
      <c r="A11" s="8" t="s">
        <v>25</v>
      </c>
      <c r="B11" s="138">
        <v>2.1875042200000001</v>
      </c>
      <c r="C11" s="139">
        <v>0.48406002000000004</v>
      </c>
      <c r="D11" s="139">
        <v>0.16137325999999999</v>
      </c>
      <c r="E11" s="14">
        <v>30</v>
      </c>
      <c r="F11" s="14">
        <v>91</v>
      </c>
      <c r="G11" s="14">
        <v>366</v>
      </c>
    </row>
    <row r="12" spans="1:7" x14ac:dyDescent="0.25">
      <c r="A12" s="8" t="s">
        <v>26</v>
      </c>
      <c r="B12" s="138">
        <v>2.1875042200000001</v>
      </c>
      <c r="C12" s="139">
        <v>0.37940647</v>
      </c>
      <c r="D12" s="139">
        <v>0.15424594</v>
      </c>
      <c r="E12" s="14">
        <v>31</v>
      </c>
      <c r="F12" s="14">
        <v>92</v>
      </c>
      <c r="G12" s="14">
        <v>366</v>
      </c>
    </row>
    <row r="13" spans="1:7" x14ac:dyDescent="0.25">
      <c r="A13" s="8" t="s">
        <v>28</v>
      </c>
      <c r="B13" s="138">
        <v>2.1875042200000001</v>
      </c>
      <c r="C13" s="139">
        <v>0.37940647</v>
      </c>
      <c r="D13" s="139">
        <v>0.14674208</v>
      </c>
      <c r="E13" s="14">
        <v>31</v>
      </c>
      <c r="F13" s="14">
        <v>92</v>
      </c>
      <c r="G13" s="14">
        <v>366</v>
      </c>
    </row>
    <row r="14" spans="1:7" x14ac:dyDescent="0.25">
      <c r="A14" s="8" t="s">
        <v>30</v>
      </c>
      <c r="B14" s="138">
        <v>2.1875042200000001</v>
      </c>
      <c r="C14" s="139">
        <v>0.37940647</v>
      </c>
      <c r="D14" s="139">
        <v>0.15438041999999999</v>
      </c>
      <c r="E14" s="14">
        <v>30</v>
      </c>
      <c r="F14" s="14">
        <v>92</v>
      </c>
      <c r="G14" s="14">
        <v>366</v>
      </c>
    </row>
    <row r="15" spans="1:7" x14ac:dyDescent="0.25">
      <c r="A15" s="8" t="s">
        <v>32</v>
      </c>
      <c r="B15" s="138">
        <v>2.1875042200000001</v>
      </c>
      <c r="C15" s="139">
        <v>0.81311204999999998</v>
      </c>
      <c r="D15" s="139">
        <v>0.20705086</v>
      </c>
      <c r="E15" s="14">
        <v>31</v>
      </c>
      <c r="F15" s="14">
        <v>92</v>
      </c>
      <c r="G15" s="14">
        <v>366</v>
      </c>
    </row>
    <row r="16" spans="1:7" x14ac:dyDescent="0.25">
      <c r="A16" s="8" t="s">
        <v>34</v>
      </c>
      <c r="B16" s="138">
        <v>2.1875042200000001</v>
      </c>
      <c r="C16" s="139">
        <v>0.81311204999999998</v>
      </c>
      <c r="D16" s="139">
        <v>0.32462921</v>
      </c>
      <c r="E16" s="14">
        <v>30</v>
      </c>
      <c r="F16" s="14">
        <v>92</v>
      </c>
      <c r="G16" s="14">
        <v>366</v>
      </c>
    </row>
    <row r="17" spans="1:7" x14ac:dyDescent="0.25">
      <c r="A17" s="8" t="s">
        <v>35</v>
      </c>
      <c r="B17" s="138">
        <v>2.1875042200000001</v>
      </c>
      <c r="C17" s="139">
        <v>0.81311204999999998</v>
      </c>
      <c r="D17" s="139">
        <v>0.44328337999999995</v>
      </c>
      <c r="E17" s="14">
        <v>31</v>
      </c>
      <c r="F17" s="14">
        <v>92</v>
      </c>
      <c r="G17" s="14">
        <v>366</v>
      </c>
    </row>
    <row r="18" spans="1:7" x14ac:dyDescent="0.25">
      <c r="D18" s="108"/>
    </row>
    <row r="20" spans="1:7" x14ac:dyDescent="0.25">
      <c r="B20" s="108"/>
      <c r="C20" s="127"/>
      <c r="D20" s="127"/>
    </row>
    <row r="21" spans="1:7" x14ac:dyDescent="0.25">
      <c r="B21" s="127"/>
      <c r="C21" s="127"/>
      <c r="D21" s="127"/>
    </row>
    <row r="22" spans="1:7" x14ac:dyDescent="0.25">
      <c r="B22" s="127"/>
      <c r="C22" s="127"/>
      <c r="D22" s="127"/>
    </row>
    <row r="23" spans="1:7" x14ac:dyDescent="0.25">
      <c r="B23" s="127"/>
      <c r="C23" s="127"/>
      <c r="D23" s="127"/>
    </row>
    <row r="24" spans="1:7" x14ac:dyDescent="0.25">
      <c r="B24" s="127"/>
      <c r="C24" s="127"/>
      <c r="D24" s="127"/>
    </row>
    <row r="25" spans="1:7" x14ac:dyDescent="0.25">
      <c r="B25" s="127"/>
      <c r="C25" s="127"/>
      <c r="D25" s="127"/>
    </row>
    <row r="26" spans="1:7" x14ac:dyDescent="0.25">
      <c r="B26" s="127"/>
      <c r="C26" s="127"/>
      <c r="D26" s="127"/>
    </row>
    <row r="27" spans="1:7" x14ac:dyDescent="0.25">
      <c r="B27" s="127"/>
      <c r="C27" s="127"/>
      <c r="D27" s="127"/>
    </row>
    <row r="28" spans="1:7" x14ac:dyDescent="0.25">
      <c r="B28" s="127"/>
      <c r="C28" s="127"/>
      <c r="D28" s="127"/>
    </row>
    <row r="29" spans="1:7" x14ac:dyDescent="0.25">
      <c r="B29" s="127"/>
      <c r="C29" s="127"/>
      <c r="D29" s="127"/>
    </row>
    <row r="30" spans="1:7" x14ac:dyDescent="0.25">
      <c r="B30" s="127"/>
      <c r="C30" s="127"/>
      <c r="D30" s="127"/>
    </row>
    <row r="31" spans="1:7" x14ac:dyDescent="0.25">
      <c r="B31" s="127"/>
      <c r="C31" s="127"/>
      <c r="D31" s="127"/>
    </row>
  </sheetData>
  <mergeCells count="1">
    <mergeCell ref="E4:G4"/>
  </mergeCells>
  <pageMargins left="0.7" right="0.7" top="0.75" bottom="0.75" header="0.3" footer="0.3"/>
  <headerFooter>
    <oddFooter>&amp;C_x000D_&amp;1#&amp;"Calibri"&amp;10&amp;K000000 Strikt Vertrouwelijk/Highly Confidential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83D1B-792D-4684-84EA-4C8F644EDB65}">
  <dimension ref="A1:L30"/>
  <sheetViews>
    <sheetView workbookViewId="0">
      <selection activeCell="I31" sqref="I31"/>
    </sheetView>
  </sheetViews>
  <sheetFormatPr defaultColWidth="9.140625" defaultRowHeight="15" x14ac:dyDescent="0.25"/>
  <cols>
    <col min="1" max="1" width="6.85546875" style="61" bestFit="1" customWidth="1"/>
    <col min="2" max="2" width="6.28515625" style="61" bestFit="1" customWidth="1"/>
    <col min="3" max="5" width="12.5703125" style="61" bestFit="1" customWidth="1"/>
    <col min="6" max="9" width="11.5703125" style="61" bestFit="1" customWidth="1"/>
    <col min="10" max="11" width="8.85546875" style="61" bestFit="1" customWidth="1"/>
    <col min="12" max="12" width="4.42578125" style="61" customWidth="1"/>
    <col min="13" max="16384" width="9.140625" style="61"/>
  </cols>
  <sheetData>
    <row r="1" spans="1:11" x14ac:dyDescent="0.25">
      <c r="A1" s="191" t="s">
        <v>116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 ht="45" x14ac:dyDescent="0.25">
      <c r="A2" s="63" t="s">
        <v>41</v>
      </c>
      <c r="B2" s="64" t="s">
        <v>108</v>
      </c>
      <c r="C2" s="64" t="s">
        <v>157</v>
      </c>
      <c r="D2" s="64" t="s">
        <v>158</v>
      </c>
      <c r="E2" s="64" t="s">
        <v>159</v>
      </c>
      <c r="F2" s="64" t="s">
        <v>160</v>
      </c>
      <c r="G2" s="64" t="s">
        <v>161</v>
      </c>
      <c r="H2" s="64" t="s">
        <v>162</v>
      </c>
      <c r="I2" s="64" t="s">
        <v>163</v>
      </c>
      <c r="J2" s="64" t="s">
        <v>164</v>
      </c>
      <c r="K2" s="64" t="s">
        <v>165</v>
      </c>
    </row>
    <row r="3" spans="1:11" x14ac:dyDescent="0.25">
      <c r="A3" s="140" t="s">
        <v>166</v>
      </c>
      <c r="B3" s="141" t="s">
        <v>112</v>
      </c>
      <c r="C3" s="136">
        <v>5.5593737999999995E-4</v>
      </c>
      <c r="D3" s="136">
        <v>4.5479296000000005E-4</v>
      </c>
      <c r="E3" s="136">
        <v>6.2951296000000011E-4</v>
      </c>
      <c r="F3" s="142">
        <v>0.43162134151354759</v>
      </c>
      <c r="G3" s="142">
        <v>0.39975840856803724</v>
      </c>
      <c r="H3" s="142">
        <v>0.16862024991841518</v>
      </c>
      <c r="I3" s="142">
        <v>1</v>
      </c>
      <c r="J3" s="145">
        <v>1.36</v>
      </c>
      <c r="K3" s="162">
        <v>1.36</v>
      </c>
    </row>
    <row r="4" spans="1:11" x14ac:dyDescent="0.25">
      <c r="A4" s="140" t="s">
        <v>167</v>
      </c>
      <c r="B4" s="141" t="s">
        <v>112</v>
      </c>
      <c r="C4" s="136">
        <v>5.5593737999999995E-4</v>
      </c>
      <c r="D4" s="136">
        <v>4.5479296000000005E-4</v>
      </c>
      <c r="E4" s="136">
        <v>6.2951296000000011E-4</v>
      </c>
      <c r="F4" s="142">
        <v>0.43162134151354759</v>
      </c>
      <c r="G4" s="142">
        <v>0.39975840856803724</v>
      </c>
      <c r="H4" s="142">
        <v>0.16862024991841518</v>
      </c>
      <c r="I4" s="142">
        <v>1</v>
      </c>
      <c r="J4" s="145">
        <v>1.37</v>
      </c>
      <c r="K4" s="159">
        <v>1.37</v>
      </c>
    </row>
    <row r="5" spans="1:11" x14ac:dyDescent="0.25">
      <c r="A5" s="140" t="s">
        <v>168</v>
      </c>
      <c r="B5" s="141">
        <v>-6</v>
      </c>
      <c r="C5" s="136">
        <v>4.7931738000000005E-4</v>
      </c>
      <c r="D5" s="136">
        <v>3.8927295999999998E-4</v>
      </c>
      <c r="E5" s="136">
        <v>3.8927295999999998E-4</v>
      </c>
      <c r="F5" s="142">
        <v>0.51916268284281863</v>
      </c>
      <c r="G5" s="142">
        <v>0.48083731715718142</v>
      </c>
      <c r="H5" s="142">
        <v>0</v>
      </c>
      <c r="I5" s="142">
        <v>1</v>
      </c>
      <c r="J5" s="145">
        <v>1.37</v>
      </c>
      <c r="K5" s="159">
        <v>1.37</v>
      </c>
    </row>
    <row r="6" spans="1:11" x14ac:dyDescent="0.25">
      <c r="A6" s="140" t="s">
        <v>169</v>
      </c>
      <c r="B6" s="141">
        <v>-1</v>
      </c>
      <c r="C6" s="136">
        <v>3.5161738000000003E-4</v>
      </c>
      <c r="D6" s="136">
        <v>2.8007295999999998E-4</v>
      </c>
      <c r="E6" s="136">
        <v>2.8007295999999998E-4</v>
      </c>
      <c r="F6" s="142">
        <v>0.7106810094438113</v>
      </c>
      <c r="G6" s="142">
        <v>0</v>
      </c>
      <c r="H6" s="142">
        <v>0.28931899055618865</v>
      </c>
      <c r="I6" s="142">
        <v>1</v>
      </c>
      <c r="J6" s="145">
        <v>1.37</v>
      </c>
      <c r="K6" s="159">
        <v>1.37</v>
      </c>
    </row>
    <row r="7" spans="1:11" x14ac:dyDescent="0.25">
      <c r="A7" s="140" t="s">
        <v>24</v>
      </c>
      <c r="B7" s="141">
        <v>3</v>
      </c>
      <c r="C7" s="136">
        <v>2.4945738000000002E-4</v>
      </c>
      <c r="D7" s="136">
        <v>2.0030128E-4</v>
      </c>
      <c r="E7" s="136">
        <v>2.0030128E-4</v>
      </c>
      <c r="F7" s="142">
        <v>1</v>
      </c>
      <c r="G7" s="142">
        <v>0</v>
      </c>
      <c r="H7" s="142">
        <v>0</v>
      </c>
      <c r="I7" s="142">
        <v>1</v>
      </c>
      <c r="J7" s="65">
        <v>1.36</v>
      </c>
      <c r="K7" s="159">
        <v>1.36</v>
      </c>
    </row>
    <row r="8" spans="1:11" x14ac:dyDescent="0.25">
      <c r="A8" s="140" t="s">
        <v>170</v>
      </c>
      <c r="B8" s="141">
        <v>7</v>
      </c>
      <c r="C8" s="136">
        <v>1.4781243999999999E-4</v>
      </c>
      <c r="D8" s="136">
        <v>1.5058285000000001E-4</v>
      </c>
      <c r="E8" s="136">
        <v>1.5058285000000001E-4</v>
      </c>
      <c r="F8" s="142">
        <v>1</v>
      </c>
      <c r="G8" s="142">
        <v>0</v>
      </c>
      <c r="H8" s="142">
        <v>0</v>
      </c>
      <c r="I8" s="142">
        <v>1.5953038788990395</v>
      </c>
      <c r="J8" s="65">
        <v>1.36</v>
      </c>
      <c r="K8" s="65">
        <v>1.36</v>
      </c>
    </row>
    <row r="9" spans="1:11" x14ac:dyDescent="0.25">
      <c r="A9" s="140" t="s">
        <v>171</v>
      </c>
      <c r="B9" s="141">
        <v>10</v>
      </c>
      <c r="C9" s="136">
        <v>7.2992439999999985E-5</v>
      </c>
      <c r="D9" s="136">
        <v>1.1461285E-4</v>
      </c>
      <c r="E9" s="136">
        <v>1.1461285E-4</v>
      </c>
      <c r="F9" s="142">
        <v>1</v>
      </c>
      <c r="G9" s="142">
        <v>0</v>
      </c>
      <c r="H9" s="142">
        <v>0</v>
      </c>
      <c r="I9" s="142">
        <v>2.8341910841358295</v>
      </c>
      <c r="J9" s="65">
        <v>1.36</v>
      </c>
      <c r="K9" s="65">
        <v>1.36</v>
      </c>
    </row>
    <row r="10" spans="1:11" x14ac:dyDescent="0.25">
      <c r="A10" s="140" t="s">
        <v>172</v>
      </c>
      <c r="B10" s="141">
        <v>10</v>
      </c>
      <c r="C10" s="136">
        <v>7.2992439999999985E-5</v>
      </c>
      <c r="D10" s="136">
        <v>1.1461285E-4</v>
      </c>
      <c r="E10" s="136">
        <v>1.1461285E-4</v>
      </c>
      <c r="F10" s="142">
        <v>1</v>
      </c>
      <c r="G10" s="142">
        <v>0</v>
      </c>
      <c r="H10" s="142">
        <v>0</v>
      </c>
      <c r="I10" s="142">
        <v>2.8341910841358295</v>
      </c>
      <c r="J10" s="65">
        <v>1.36</v>
      </c>
      <c r="K10" s="65">
        <v>1.36</v>
      </c>
    </row>
    <row r="11" spans="1:11" x14ac:dyDescent="0.25">
      <c r="A11" s="140" t="s">
        <v>173</v>
      </c>
      <c r="B11" s="141">
        <v>6</v>
      </c>
      <c r="C11" s="136">
        <v>1.7283737999999998E-4</v>
      </c>
      <c r="D11" s="136">
        <v>1.6257285000000001E-4</v>
      </c>
      <c r="E11" s="136">
        <v>1.6257285000000001E-4</v>
      </c>
      <c r="F11" s="142">
        <v>1</v>
      </c>
      <c r="G11" s="142">
        <v>0</v>
      </c>
      <c r="H11" s="142">
        <v>0</v>
      </c>
      <c r="I11" s="142">
        <v>1.3919005624574272</v>
      </c>
      <c r="J11" s="65">
        <v>1.35</v>
      </c>
      <c r="K11" s="65">
        <v>1.35</v>
      </c>
    </row>
    <row r="12" spans="1:11" x14ac:dyDescent="0.25">
      <c r="A12" s="140" t="s">
        <v>174</v>
      </c>
      <c r="B12" s="141">
        <v>0</v>
      </c>
      <c r="C12" s="136">
        <v>3.2607738000000003E-4</v>
      </c>
      <c r="D12" s="136">
        <v>2.5823295999999996E-4</v>
      </c>
      <c r="E12" s="136">
        <v>2.5823295999999996E-4</v>
      </c>
      <c r="F12" s="142">
        <v>0.76729154713405245</v>
      </c>
      <c r="G12" s="142">
        <v>0.23270845286594755</v>
      </c>
      <c r="H12" s="142">
        <v>0</v>
      </c>
      <c r="I12" s="142">
        <v>1</v>
      </c>
      <c r="J12" s="65">
        <v>1.36</v>
      </c>
      <c r="K12" s="65">
        <v>1.36</v>
      </c>
    </row>
    <row r="13" spans="1:11" x14ac:dyDescent="0.25">
      <c r="A13" s="140" t="s">
        <v>175</v>
      </c>
      <c r="B13" s="141">
        <v>-6</v>
      </c>
      <c r="C13" s="136">
        <v>4.7931738000000005E-4</v>
      </c>
      <c r="D13" s="136">
        <v>3.8927295999999998E-4</v>
      </c>
      <c r="E13" s="136">
        <v>3.8927295999999998E-4</v>
      </c>
      <c r="F13" s="142">
        <v>0.51916268284281863</v>
      </c>
      <c r="G13" s="142">
        <v>0.15745454926662936</v>
      </c>
      <c r="H13" s="142">
        <v>0.32338276789055209</v>
      </c>
      <c r="I13" s="142">
        <v>1</v>
      </c>
      <c r="J13" s="65">
        <v>1.35</v>
      </c>
      <c r="K13" s="65">
        <v>1.35</v>
      </c>
    </row>
    <row r="14" spans="1:11" x14ac:dyDescent="0.25">
      <c r="A14" s="140" t="s">
        <v>176</v>
      </c>
      <c r="B14" s="141" t="s">
        <v>112</v>
      </c>
      <c r="C14" s="136">
        <v>5.5593737999999995E-4</v>
      </c>
      <c r="D14" s="136">
        <v>4.5479296000000005E-4</v>
      </c>
      <c r="E14" s="136">
        <v>6.2951296000000011E-4</v>
      </c>
      <c r="F14" s="142">
        <v>0.43162134151354759</v>
      </c>
      <c r="G14" s="142">
        <v>0.1309045238184989</v>
      </c>
      <c r="H14" s="142">
        <v>0.43747413466795348</v>
      </c>
      <c r="I14" s="142">
        <v>1</v>
      </c>
      <c r="J14" s="65">
        <v>1.34</v>
      </c>
      <c r="K14" s="65">
        <v>1.34</v>
      </c>
    </row>
    <row r="17" spans="1:12" x14ac:dyDescent="0.25">
      <c r="A17" s="192" t="s">
        <v>64</v>
      </c>
      <c r="B17" s="192"/>
      <c r="C17" s="192"/>
      <c r="D17" s="192"/>
      <c r="E17" s="192"/>
      <c r="F17" s="192"/>
      <c r="G17" s="192"/>
      <c r="H17" s="192"/>
      <c r="I17" s="192"/>
      <c r="J17" s="65"/>
      <c r="K17" s="65"/>
    </row>
    <row r="18" spans="1:12" ht="30" x14ac:dyDescent="0.25">
      <c r="A18" s="140" t="s">
        <v>41</v>
      </c>
      <c r="B18" s="143" t="s">
        <v>108</v>
      </c>
      <c r="C18" s="143" t="s">
        <v>67</v>
      </c>
      <c r="D18" s="143" t="s">
        <v>160</v>
      </c>
      <c r="E18" s="143" t="s">
        <v>177</v>
      </c>
      <c r="F18" s="143" t="s">
        <v>162</v>
      </c>
      <c r="G18" s="143" t="s">
        <v>163</v>
      </c>
      <c r="H18" s="143" t="s">
        <v>178</v>
      </c>
      <c r="I18" s="143" t="s">
        <v>179</v>
      </c>
      <c r="J18" s="65"/>
      <c r="K18" s="64"/>
    </row>
    <row r="19" spans="1:12" x14ac:dyDescent="0.25">
      <c r="A19" s="140" t="s">
        <v>166</v>
      </c>
      <c r="B19" s="141" t="s">
        <v>180</v>
      </c>
      <c r="C19" s="143">
        <v>1</v>
      </c>
      <c r="D19" s="144">
        <v>0.63</v>
      </c>
      <c r="E19" s="144">
        <v>0.16999999999999998</v>
      </c>
      <c r="F19" s="144">
        <v>0.19999999999999996</v>
      </c>
      <c r="G19" s="142">
        <v>1</v>
      </c>
      <c r="H19" s="147">
        <v>0.94</v>
      </c>
      <c r="I19" s="160">
        <v>0.93</v>
      </c>
      <c r="J19" s="65"/>
      <c r="K19" s="65"/>
      <c r="L19" s="109"/>
    </row>
    <row r="20" spans="1:12" x14ac:dyDescent="0.25">
      <c r="A20" s="140" t="s">
        <v>167</v>
      </c>
      <c r="B20" s="141" t="s">
        <v>180</v>
      </c>
      <c r="C20" s="143">
        <v>1</v>
      </c>
      <c r="D20" s="144">
        <v>0.63</v>
      </c>
      <c r="E20" s="144">
        <v>0.16999999999999998</v>
      </c>
      <c r="F20" s="144">
        <v>0.19999999999999996</v>
      </c>
      <c r="G20" s="142">
        <v>1</v>
      </c>
      <c r="H20" s="147">
        <v>0.9</v>
      </c>
      <c r="I20" s="161">
        <v>0.9</v>
      </c>
      <c r="J20" s="65"/>
      <c r="K20" s="65"/>
      <c r="L20" s="109"/>
    </row>
    <row r="21" spans="1:12" x14ac:dyDescent="0.25">
      <c r="A21" s="140" t="s">
        <v>168</v>
      </c>
      <c r="B21" s="141">
        <v>-6</v>
      </c>
      <c r="C21" s="143">
        <v>0.8</v>
      </c>
      <c r="D21" s="144">
        <v>0.78749999999999998</v>
      </c>
      <c r="E21" s="144">
        <v>0.21249999999999999</v>
      </c>
      <c r="F21" s="144">
        <v>0</v>
      </c>
      <c r="G21" s="142">
        <v>1</v>
      </c>
      <c r="H21" s="147">
        <v>0.92</v>
      </c>
      <c r="I21" s="161">
        <v>0.92</v>
      </c>
      <c r="J21" s="65"/>
      <c r="K21" s="65"/>
      <c r="L21" s="109"/>
    </row>
    <row r="22" spans="1:12" x14ac:dyDescent="0.25">
      <c r="A22" s="140" t="s">
        <v>169</v>
      </c>
      <c r="B22" s="141">
        <v>-1</v>
      </c>
      <c r="C22" s="143">
        <v>0.7</v>
      </c>
      <c r="D22" s="144">
        <v>0.90000000000000013</v>
      </c>
      <c r="E22" s="144">
        <v>0</v>
      </c>
      <c r="F22" s="144">
        <v>9.9999999999999895E-2</v>
      </c>
      <c r="G22" s="142">
        <v>1</v>
      </c>
      <c r="H22" s="147">
        <v>0.92</v>
      </c>
      <c r="I22" s="160">
        <v>0.92</v>
      </c>
      <c r="J22" s="65"/>
      <c r="K22" s="65"/>
      <c r="L22" s="109"/>
    </row>
    <row r="23" spans="1:12" x14ac:dyDescent="0.25">
      <c r="A23" s="140" t="s">
        <v>24</v>
      </c>
      <c r="B23" s="141">
        <v>3</v>
      </c>
      <c r="C23" s="143">
        <v>0.63</v>
      </c>
      <c r="D23" s="144">
        <v>1</v>
      </c>
      <c r="E23" s="144">
        <v>0</v>
      </c>
      <c r="F23" s="144">
        <v>0</v>
      </c>
      <c r="G23" s="142">
        <v>1</v>
      </c>
      <c r="H23" s="148">
        <v>0.92</v>
      </c>
      <c r="I23" s="160">
        <v>0.92</v>
      </c>
      <c r="J23" s="65"/>
      <c r="K23" s="65"/>
      <c r="L23" s="109"/>
    </row>
    <row r="24" spans="1:12" x14ac:dyDescent="0.25">
      <c r="A24" s="140" t="s">
        <v>170</v>
      </c>
      <c r="B24" s="141">
        <v>7</v>
      </c>
      <c r="C24" s="143">
        <v>0.55000000000000004</v>
      </c>
      <c r="D24" s="144">
        <v>1</v>
      </c>
      <c r="E24" s="144">
        <v>0</v>
      </c>
      <c r="F24" s="144">
        <v>0</v>
      </c>
      <c r="G24" s="142">
        <v>1.1454545454545455</v>
      </c>
      <c r="H24" s="148">
        <v>0.92</v>
      </c>
      <c r="I24" s="143">
        <v>0.92</v>
      </c>
      <c r="J24" s="65"/>
      <c r="K24" s="65"/>
      <c r="L24" s="109"/>
    </row>
    <row r="25" spans="1:12" x14ac:dyDescent="0.25">
      <c r="A25" s="140" t="s">
        <v>171</v>
      </c>
      <c r="B25" s="141">
        <v>10</v>
      </c>
      <c r="C25" s="143">
        <v>0.5</v>
      </c>
      <c r="D25" s="144">
        <v>1</v>
      </c>
      <c r="E25" s="144">
        <v>0</v>
      </c>
      <c r="F25" s="144">
        <v>0</v>
      </c>
      <c r="G25" s="142">
        <v>1.26</v>
      </c>
      <c r="H25" s="148">
        <v>0.92</v>
      </c>
      <c r="I25" s="143">
        <v>0.92</v>
      </c>
      <c r="J25" s="65"/>
      <c r="K25" s="65"/>
      <c r="L25" s="109"/>
    </row>
    <row r="26" spans="1:12" x14ac:dyDescent="0.25">
      <c r="A26" s="140" t="s">
        <v>172</v>
      </c>
      <c r="B26" s="141">
        <v>10</v>
      </c>
      <c r="C26" s="143">
        <v>0.5</v>
      </c>
      <c r="D26" s="144">
        <v>1</v>
      </c>
      <c r="E26" s="144">
        <v>0</v>
      </c>
      <c r="F26" s="144">
        <v>0</v>
      </c>
      <c r="G26" s="142">
        <v>1.26</v>
      </c>
      <c r="H26" s="148">
        <v>0.92</v>
      </c>
      <c r="I26" s="143">
        <v>0.92</v>
      </c>
      <c r="J26" s="65"/>
      <c r="K26" s="65"/>
      <c r="L26" s="109"/>
    </row>
    <row r="27" spans="1:12" x14ac:dyDescent="0.25">
      <c r="A27" s="140" t="s">
        <v>173</v>
      </c>
      <c r="B27" s="141">
        <v>6</v>
      </c>
      <c r="C27" s="143">
        <v>0.56999999999999995</v>
      </c>
      <c r="D27" s="144">
        <v>1</v>
      </c>
      <c r="E27" s="144">
        <v>0</v>
      </c>
      <c r="F27" s="144">
        <v>0</v>
      </c>
      <c r="G27" s="142">
        <v>1.1052631578947372</v>
      </c>
      <c r="H27" s="148">
        <v>0.92</v>
      </c>
      <c r="I27" s="143">
        <v>0.92</v>
      </c>
      <c r="J27" s="65"/>
      <c r="K27" s="65"/>
      <c r="L27" s="109"/>
    </row>
    <row r="28" spans="1:12" x14ac:dyDescent="0.25">
      <c r="A28" s="140" t="s">
        <v>174</v>
      </c>
      <c r="B28" s="141">
        <v>0</v>
      </c>
      <c r="C28" s="143">
        <v>0.68</v>
      </c>
      <c r="D28" s="144">
        <v>0.92647058823529405</v>
      </c>
      <c r="E28" s="144">
        <v>7.3529411764705926E-2</v>
      </c>
      <c r="F28" s="144">
        <v>0</v>
      </c>
      <c r="G28" s="142">
        <v>1</v>
      </c>
      <c r="H28" s="148">
        <v>0.92</v>
      </c>
      <c r="I28" s="143">
        <v>0.92</v>
      </c>
      <c r="J28" s="65"/>
      <c r="K28" s="65"/>
      <c r="L28" s="109"/>
    </row>
    <row r="29" spans="1:12" x14ac:dyDescent="0.25">
      <c r="A29" s="140" t="s">
        <v>175</v>
      </c>
      <c r="B29" s="141">
        <v>-6</v>
      </c>
      <c r="C29" s="143">
        <v>0.8</v>
      </c>
      <c r="D29" s="144">
        <v>0.78749999999999998</v>
      </c>
      <c r="E29" s="144">
        <v>6.2500000000000042E-2</v>
      </c>
      <c r="F29" s="144">
        <v>0.14999999999999994</v>
      </c>
      <c r="G29" s="142">
        <v>1</v>
      </c>
      <c r="H29" s="148">
        <v>0.92</v>
      </c>
      <c r="I29" s="143">
        <v>0.92</v>
      </c>
      <c r="J29" s="65"/>
      <c r="K29" s="65"/>
      <c r="L29" s="109"/>
    </row>
    <row r="30" spans="1:12" x14ac:dyDescent="0.25">
      <c r="A30" s="140" t="s">
        <v>176</v>
      </c>
      <c r="B30" s="141" t="s">
        <v>180</v>
      </c>
      <c r="C30" s="143">
        <v>1</v>
      </c>
      <c r="D30" s="144">
        <v>0.63</v>
      </c>
      <c r="E30" s="144">
        <v>5.0000000000000037E-2</v>
      </c>
      <c r="F30" s="144">
        <v>0.3199999999999999</v>
      </c>
      <c r="G30" s="142">
        <v>1</v>
      </c>
      <c r="H30" s="148">
        <v>0.92</v>
      </c>
      <c r="I30" s="143">
        <v>0.92</v>
      </c>
      <c r="J30" s="65"/>
      <c r="K30" s="65"/>
      <c r="L30" s="109"/>
    </row>
  </sheetData>
  <mergeCells count="2">
    <mergeCell ref="A1:K1"/>
    <mergeCell ref="A17:I17"/>
  </mergeCells>
  <conditionalFormatting sqref="J3:J14 H19:H30">
    <cfRule type="cellIs" dxfId="1" priority="2" operator="greaterThan">
      <formula>0</formula>
    </cfRule>
  </conditionalFormatting>
  <conditionalFormatting sqref="K3:K14 I19:I30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  <headerFooter>
    <oddFooter>&amp;C_x000D_&amp;1#&amp;"Calibri"&amp;10&amp;K000000 Strikt Vertrouwelijk/Highly Confidential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aar xmlns="bacb7cf0-6450-40cc-afb5-63db44e4bb5b">2024</Jaar>
    <Maand xmlns="bacb7cf0-6450-40cc-afb5-63db44e4bb5b">Dec</Maand>
    <Type_x0020_doc xmlns="bacb7cf0-6450-40cc-afb5-63db44e4bb5b">-</Type_x0020_doc>
    <Onderwerp xmlns="bacb7cf0-6450-40cc-afb5-63db44e4bb5b">Website</Onderwerp>
    <_dlc_DocId xmlns="0009d3ae-0f9e-47be-ae31-9d6cd8b104c4">FS4J2TDFXHDR-257354695-1636</_dlc_DocId>
    <_dlc_DocIdUrl xmlns="0009d3ae-0f9e-47be-ae31-9d6cd8b104c4">
      <Url>https://gasunie.sharepoint.com/sites/20190844/_layouts/15/DocIdRedir.aspx?ID=FS4J2TDFXHDR-257354695-1636</Url>
      <Description>FS4J2TDFXHDR-257354695-1636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17EE583F8E3D478839658D17284934" ma:contentTypeVersion="14" ma:contentTypeDescription="Een nieuw document maken." ma:contentTypeScope="" ma:versionID="54cef1ce87a9274310d81c2466c27123">
  <xsd:schema xmlns:xsd="http://www.w3.org/2001/XMLSchema" xmlns:xs="http://www.w3.org/2001/XMLSchema" xmlns:p="http://schemas.microsoft.com/office/2006/metadata/properties" xmlns:ns2="0009d3ae-0f9e-47be-ae31-9d6cd8b104c4" xmlns:ns3="bacb7cf0-6450-40cc-afb5-63db44e4bb5b" targetNamespace="http://schemas.microsoft.com/office/2006/metadata/properties" ma:root="true" ma:fieldsID="b2250d06addca3bf5bf2e2346fd824b1" ns2:_="" ns3:_="">
    <xsd:import namespace="0009d3ae-0f9e-47be-ae31-9d6cd8b104c4"/>
    <xsd:import namespace="bacb7cf0-6450-40cc-afb5-63db44e4bb5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Jaar" minOccurs="0"/>
                <xsd:element ref="ns3:Onderwerp" minOccurs="0"/>
                <xsd:element ref="ns3:Maand" minOccurs="0"/>
                <xsd:element ref="ns3:Type_x0020_doc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9d3ae-0f9e-47be-ae31-9d6cd8b104c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5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cb7cf0-6450-40cc-afb5-63db44e4bb5b" elementFormDefault="qualified">
    <xsd:import namespace="http://schemas.microsoft.com/office/2006/documentManagement/types"/>
    <xsd:import namespace="http://schemas.microsoft.com/office/infopath/2007/PartnerControls"/>
    <xsd:element name="Jaar" ma:index="7" nillable="true" ma:displayName="Jaar" ma:default="-" ma:format="Dropdown" ma:internalName="Jaar">
      <xsd:simpleType>
        <xsd:restriction base="dms:Choice">
          <xsd:enumeration value="-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</xsd:restriction>
      </xsd:simpleType>
    </xsd:element>
    <xsd:element name="Onderwerp" ma:index="8" nillable="true" ma:displayName="Onderwerp" ma:default="-" ma:format="Dropdown" ma:internalName="Onderwerp" ma:readOnly="false">
      <xsd:simpleType>
        <xsd:restriction base="dms:Choice">
          <xsd:enumeration value="-"/>
          <xsd:enumeration value="Algemeen"/>
          <xsd:enumeration value="Begroting"/>
          <xsd:enumeration value="Exceeding Entry"/>
          <xsd:enumeration value="Factoren"/>
          <xsd:enumeration value="Memo Presentatie"/>
          <xsd:enumeration value="Piek"/>
          <xsd:enumeration value="Piek commodity levering"/>
          <xsd:enumeration value="Plancapaciteit"/>
          <xsd:enumeration value="Project RNB Piek facturering"/>
          <xsd:enumeration value="RNB"/>
          <xsd:enumeration value="RNB + Piek"/>
          <xsd:enumeration value="RNB Piek 2.0"/>
          <xsd:enumeration value="Website"/>
          <xsd:enumeration value="Wetgeving en beleid"/>
        </xsd:restriction>
      </xsd:simpleType>
    </xsd:element>
    <xsd:element name="Maand" ma:index="9" nillable="true" ma:displayName="Maand" ma:default="-" ma:format="Dropdown" ma:internalName="Maand" ma:readOnly="false">
      <xsd:simpleType>
        <xsd:restriction base="dms:Choice">
          <xsd:enumeration value="-"/>
          <xsd:enumeration value="Jan"/>
          <xsd:enumeration value="Feb"/>
          <xsd:enumeration value="Mrt"/>
          <xsd:enumeration value="Apr"/>
          <xsd:enumeration value="Mei"/>
          <xsd:enumeration value="Jun"/>
          <xsd:enumeration value="Jul"/>
          <xsd:enumeration value="Aug"/>
          <xsd:enumeration value="Sep"/>
          <xsd:enumeration value="Okt"/>
          <xsd:enumeration value="Nov"/>
          <xsd:enumeration value="Dec"/>
        </xsd:restriction>
      </xsd:simpleType>
    </xsd:element>
    <xsd:element name="Type_x0020_doc" ma:index="10" nillable="true" ma:displayName="Type doc" ma:default="-" ma:format="Dropdown" ma:internalName="Type_x0020_doc" ma:readOnly="false">
      <xsd:simpleType>
        <xsd:restriction base="dms:Choice">
          <xsd:enumeration value="-"/>
          <xsd:enumeration value="M1"/>
          <xsd:enumeration value="M4"/>
          <xsd:enumeration value="4 ogen"/>
          <xsd:enumeration value="Bijlagen"/>
          <xsd:enumeration value="Bijlagen correctie"/>
          <xsd:enumeration value="Mail"/>
          <xsd:enumeration value="Procedure"/>
          <xsd:enumeration value="Tarief"/>
          <xsd:enumeration value="Third party agreement"/>
          <xsd:enumeration value="Verzendlijst"/>
        </xsd:restriction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Inhoudstype"/>
        <xsd:element ref="dc:title" minOccurs="0" maxOccurs="1" ma:index="3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2ED644-CED5-4109-BC9C-C6F6E113C1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B44E4A-044F-4995-A203-2AC4847817B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8DBB631-AA39-4D75-8A2B-B3D1856C07F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bacb7cf0-6450-40cc-afb5-63db44e4bb5b"/>
    <ds:schemaRef ds:uri="0009d3ae-0f9e-47be-ae31-9d6cd8b104c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8831D5F2-A8AB-4E58-8E0F-9F5DBD244D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09d3ae-0f9e-47be-ae31-9d6cd8b104c4"/>
    <ds:schemaRef ds:uri="bacb7cf0-6450-40cc-afb5-63db44e4bb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Quick calculator Telemetry</vt:lpstr>
      <vt:lpstr>Quick calculator Profile</vt:lpstr>
      <vt:lpstr>Telemetry end users</vt:lpstr>
      <vt:lpstr>Profile end users</vt:lpstr>
      <vt:lpstr>Tariffs</vt:lpstr>
      <vt:lpstr>Factors and fractions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Entzinger L.</dc:creator>
  <cp:keywords/>
  <dc:description/>
  <cp:lastModifiedBy>Nieuwold A.H. (Alie)</cp:lastModifiedBy>
  <cp:revision/>
  <dcterms:created xsi:type="dcterms:W3CDTF">2019-06-06T06:39:20Z</dcterms:created>
  <dcterms:modified xsi:type="dcterms:W3CDTF">2025-04-16T09:26:46Z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0x0101005117EE583F8E3D478839658D17284934</vt:lpwstr>
  </property>
  <property fmtid="{D5CDD505-2E9C-101B-9397-08002B2CF9AE}" pid="3" name="_dlc_DocIdItemGuid">
    <vt:lpwstr>456b5383-cf85-4f49-9a68-ebde2b0d9495</vt:lpwstr>
  </property>
  <property fmtid="{D5CDD505-2E9C-101B-9397-08002B2CF9AE}" pid="4" name="MSIP_Label_c91a6e7d-dd0b-48d6-b664-a5cc7265bd6f_Enabled">
    <vt:lpwstr>true</vt:lpwstr>
  </property>
  <property fmtid="{D5CDD505-2E9C-101B-9397-08002B2CF9AE}" pid="5" name="MSIP_Label_c91a6e7d-dd0b-48d6-b664-a5cc7265bd6f_SetDate">
    <vt:lpwstr>2023-11-20T12:05:15Z</vt:lpwstr>
  </property>
  <property fmtid="{D5CDD505-2E9C-101B-9397-08002B2CF9AE}" pid="6" name="MSIP_Label_c91a6e7d-dd0b-48d6-b664-a5cc7265bd6f_Method">
    <vt:lpwstr>Privileged</vt:lpwstr>
  </property>
  <property fmtid="{D5CDD505-2E9C-101B-9397-08002B2CF9AE}" pid="7" name="MSIP_Label_c91a6e7d-dd0b-48d6-b664-a5cc7265bd6f_Name">
    <vt:lpwstr>Inf_striktvertrouwelijk</vt:lpwstr>
  </property>
  <property fmtid="{D5CDD505-2E9C-101B-9397-08002B2CF9AE}" pid="8" name="MSIP_Label_c91a6e7d-dd0b-48d6-b664-a5cc7265bd6f_SiteId">
    <vt:lpwstr>0dba6fac-6971-48f3-9af1-d8a86d20e1ed</vt:lpwstr>
  </property>
  <property fmtid="{D5CDD505-2E9C-101B-9397-08002B2CF9AE}" pid="9" name="MSIP_Label_c91a6e7d-dd0b-48d6-b664-a5cc7265bd6f_ActionId">
    <vt:lpwstr>398dfc3b-fb87-4305-aed6-4115b723d0a1</vt:lpwstr>
  </property>
  <property fmtid="{D5CDD505-2E9C-101B-9397-08002B2CF9AE}" pid="10" name="MSIP_Label_c91a6e7d-dd0b-48d6-b664-a5cc7265bd6f_ContentBits">
    <vt:lpwstr>2</vt:lpwstr>
  </property>
</Properties>
</file>